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activeTab="0"/>
  </bookViews>
  <sheets>
    <sheet name="Vitesse temps séances" sheetId="1" r:id="rId1"/>
    <sheet name="fiche personnelle" sheetId="2" r:id="rId2"/>
  </sheets>
  <definedNames>
    <definedName name="_xlfn.AGGREGATE" hidden="1">#NAME?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ahoma"/>
            <family val="2"/>
          </rPr>
          <t xml:space="preserve">
Votre VMA</t>
        </r>
      </text>
    </comment>
  </commentList>
</comments>
</file>

<file path=xl/sharedStrings.xml><?xml version="1.0" encoding="utf-8"?>
<sst xmlns="http://schemas.openxmlformats.org/spreadsheetml/2006/main" count="92" uniqueCount="61">
  <si>
    <t>Nom</t>
  </si>
  <si>
    <t>Prénom</t>
  </si>
  <si>
    <t>Km/h</t>
  </si>
  <si>
    <t>Vma :</t>
  </si>
  <si>
    <t>VITESSES OU TEMPS à respecter aux différentes séances</t>
  </si>
  <si>
    <t>VMA intensive (courte)</t>
  </si>
  <si>
    <t>VMA extensive (longue)</t>
  </si>
  <si>
    <t>Vitesse spécifique</t>
  </si>
  <si>
    <t>Variable</t>
  </si>
  <si>
    <t>VMA %</t>
  </si>
  <si>
    <t>Tps d'effort</t>
  </si>
  <si>
    <t>Tps au kilo</t>
  </si>
  <si>
    <t>Distances</t>
  </si>
  <si>
    <t>Travail vma</t>
  </si>
  <si>
    <t>8 à 12'</t>
  </si>
  <si>
    <t>10 à 15'</t>
  </si>
  <si>
    <t>12 à 20'</t>
  </si>
  <si>
    <t>10km</t>
  </si>
  <si>
    <t>21km</t>
  </si>
  <si>
    <t>Marathon</t>
  </si>
  <si>
    <t>Footing / Endu. fondamental</t>
  </si>
  <si>
    <t>Records personnel</t>
  </si>
  <si>
    <t>Temps</t>
  </si>
  <si>
    <t>Années</t>
  </si>
  <si>
    <t>5km</t>
  </si>
  <si>
    <t>Date test de VMA</t>
  </si>
  <si>
    <t>Date de naissance</t>
  </si>
  <si>
    <t>Catégorie</t>
  </si>
  <si>
    <t>Méthode</t>
  </si>
  <si>
    <t>No.de Licence</t>
  </si>
  <si>
    <t>VMA</t>
  </si>
  <si>
    <t>Lieu</t>
  </si>
  <si>
    <t>Stade Geo Andre</t>
  </si>
  <si>
    <t>Travail de VMA courte</t>
  </si>
  <si>
    <t>Vitesse</t>
  </si>
  <si>
    <t>km/heure</t>
  </si>
  <si>
    <t>Distance à parcourir en:</t>
  </si>
  <si>
    <t>30”</t>
  </si>
  <si>
    <t>mètres</t>
  </si>
  <si>
    <t>45”</t>
  </si>
  <si>
    <t>60”</t>
  </si>
  <si>
    <t>Temps pour la distance:</t>
  </si>
  <si>
    <t>100m</t>
  </si>
  <si>
    <t>mm:ss</t>
  </si>
  <si>
    <t>200m</t>
  </si>
  <si>
    <t>300m</t>
  </si>
  <si>
    <t>Travail de VMA longue</t>
  </si>
  <si>
    <t>6 minutes</t>
  </si>
  <si>
    <t>400m</t>
  </si>
  <si>
    <t>500m</t>
  </si>
  <si>
    <t>600m</t>
  </si>
  <si>
    <t>800m</t>
  </si>
  <si>
    <t>1000m</t>
  </si>
  <si>
    <t>Travail de Vitesse Spécifique</t>
  </si>
  <si>
    <t>Allure</t>
  </si>
  <si>
    <t>mm:ss/km</t>
  </si>
  <si>
    <t>1km</t>
  </si>
  <si>
    <t>5 km</t>
  </si>
  <si>
    <t>10 km</t>
  </si>
  <si>
    <t>Semi marathon</t>
  </si>
  <si>
    <t>h:mm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</si>
</sst>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h:mm:ss"/>
    <numFmt numFmtId="168" formatCode="d\ mmm\ yy"/>
    <numFmt numFmtId="169" formatCode="dd/mm/yyyy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[$-40C]dddd\ d\ mmmm\ yyyy"/>
    <numFmt numFmtId="174" formatCode="0.000"/>
    <numFmt numFmtId="175" formatCode="0.0000"/>
    <numFmt numFmtId="176" formatCode="d/m/yy;@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8"/>
      <color indexed="9"/>
      <name val="Times New Roman"/>
      <family val="1"/>
    </font>
    <font>
      <b/>
      <sz val="22"/>
      <color indexed="9"/>
      <name val="Times New Roman"/>
      <family val="1"/>
    </font>
    <font>
      <sz val="12"/>
      <name val="Arial"/>
      <family val="2"/>
    </font>
    <font>
      <sz val="22"/>
      <color indexed="8"/>
      <name val="Calibri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Tahoma"/>
      <family val="2"/>
    </font>
    <font>
      <b/>
      <u val="single"/>
      <sz val="12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left" vertical="top" wrapText="1"/>
      <protection/>
    </xf>
    <xf numFmtId="0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9" fillId="0" borderId="12" xfId="0" applyNumberFormat="1" applyFont="1" applyBorder="1" applyAlignment="1" applyProtection="1">
      <alignment horizontal="left" vertical="top" wrapText="1"/>
      <protection/>
    </xf>
    <xf numFmtId="0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Alignment="1" applyProtection="1">
      <alignment horizontal="left" vertical="top" wrapText="1"/>
      <protection/>
    </xf>
    <xf numFmtId="0" fontId="10" fillId="35" borderId="13" xfId="0" applyNumberFormat="1" applyFont="1" applyFill="1" applyBorder="1" applyAlignment="1" applyProtection="1">
      <alignment horizontal="center" vertical="center" wrapText="1"/>
      <protection/>
    </xf>
    <xf numFmtId="0" fontId="10" fillId="35" borderId="14" xfId="0" applyNumberFormat="1" applyFont="1" applyFill="1" applyBorder="1" applyAlignment="1" applyProtection="1">
      <alignment horizontal="center" vertical="center" wrapText="1"/>
      <protection/>
    </xf>
    <xf numFmtId="0" fontId="10" fillId="36" borderId="15" xfId="0" applyNumberFormat="1" applyFont="1" applyFill="1" applyBorder="1" applyAlignment="1" applyProtection="1">
      <alignment horizontal="center" vertical="top" wrapText="1"/>
      <protection/>
    </xf>
    <xf numFmtId="0" fontId="10" fillId="36" borderId="10" xfId="0" applyNumberFormat="1" applyFont="1" applyFill="1" applyBorder="1" applyAlignment="1" applyProtection="1">
      <alignment horizontal="center" vertical="top" wrapText="1"/>
      <protection/>
    </xf>
    <xf numFmtId="0" fontId="10" fillId="36" borderId="16" xfId="0" applyNumberFormat="1" applyFont="1" applyFill="1" applyBorder="1" applyAlignment="1" applyProtection="1">
      <alignment horizontal="center" vertical="top" wrapText="1"/>
      <protection/>
    </xf>
    <xf numFmtId="0" fontId="10" fillId="37" borderId="15" xfId="0" applyNumberFormat="1" applyFont="1" applyFill="1" applyBorder="1" applyAlignment="1" applyProtection="1">
      <alignment horizontal="center" vertical="top" wrapText="1"/>
      <protection/>
    </xf>
    <xf numFmtId="0" fontId="10" fillId="37" borderId="10" xfId="0" applyNumberFormat="1" applyFont="1" applyFill="1" applyBorder="1" applyAlignment="1" applyProtection="1">
      <alignment horizontal="center" vertical="top" wrapText="1"/>
      <protection/>
    </xf>
    <xf numFmtId="0" fontId="10" fillId="37" borderId="16" xfId="0" applyNumberFormat="1" applyFont="1" applyFill="1" applyBorder="1" applyAlignment="1" applyProtection="1">
      <alignment horizontal="center" vertical="top" wrapText="1"/>
      <protection/>
    </xf>
    <xf numFmtId="0" fontId="10" fillId="38" borderId="15" xfId="0" applyNumberFormat="1" applyFont="1" applyFill="1" applyBorder="1" applyAlignment="1" applyProtection="1">
      <alignment horizontal="center" vertical="top" wrapText="1"/>
      <protection/>
    </xf>
    <xf numFmtId="0" fontId="10" fillId="38" borderId="10" xfId="0" applyNumberFormat="1" applyFont="1" applyFill="1" applyBorder="1" applyAlignment="1" applyProtection="1">
      <alignment horizontal="center" vertical="top" wrapText="1"/>
      <protection/>
    </xf>
    <xf numFmtId="0" fontId="10" fillId="38" borderId="11" xfId="0" applyNumberFormat="1" applyFont="1" applyFill="1" applyBorder="1" applyAlignment="1" applyProtection="1">
      <alignment horizontal="center" vertical="top" wrapText="1"/>
      <protection/>
    </xf>
    <xf numFmtId="0" fontId="0" fillId="38" borderId="13" xfId="0" applyFont="1" applyFill="1" applyBorder="1" applyAlignment="1" applyProtection="1">
      <alignment horizontal="center"/>
      <protection/>
    </xf>
    <xf numFmtId="0" fontId="10" fillId="36" borderId="17" xfId="0" applyNumberFormat="1" applyFont="1" applyFill="1" applyBorder="1" applyAlignment="1" applyProtection="1">
      <alignment horizontal="center" vertical="center" wrapText="1"/>
      <protection/>
    </xf>
    <xf numFmtId="0" fontId="11" fillId="36" borderId="18" xfId="0" applyNumberFormat="1" applyFont="1" applyFill="1" applyBorder="1" applyAlignment="1" applyProtection="1">
      <alignment horizontal="center" vertical="center" wrapText="1"/>
      <protection/>
    </xf>
    <xf numFmtId="0" fontId="10" fillId="36" borderId="19" xfId="0" applyNumberFormat="1" applyFont="1" applyFill="1" applyBorder="1" applyAlignment="1" applyProtection="1">
      <alignment horizontal="center" vertical="center" wrapText="1"/>
      <protection/>
    </xf>
    <xf numFmtId="45" fontId="11" fillId="36" borderId="20" xfId="0" applyNumberFormat="1" applyFont="1" applyFill="1" applyBorder="1" applyAlignment="1" applyProtection="1">
      <alignment horizontal="center" vertical="center" wrapText="1"/>
      <protection/>
    </xf>
    <xf numFmtId="166" fontId="10" fillId="36" borderId="18" xfId="0" applyNumberFormat="1" applyFont="1" applyFill="1" applyBorder="1" applyAlignment="1" applyProtection="1">
      <alignment horizontal="center" vertical="center" wrapText="1"/>
      <protection/>
    </xf>
    <xf numFmtId="45" fontId="11" fillId="36" borderId="21" xfId="0" applyNumberFormat="1" applyFont="1" applyFill="1" applyBorder="1" applyAlignment="1" applyProtection="1">
      <alignment horizontal="center" vertical="center" wrapText="1"/>
      <protection/>
    </xf>
    <xf numFmtId="45" fontId="11" fillId="36" borderId="18" xfId="0" applyNumberFormat="1" applyFont="1" applyFill="1" applyBorder="1" applyAlignment="1" applyProtection="1">
      <alignment horizontal="center" vertical="center" wrapText="1"/>
      <protection/>
    </xf>
    <xf numFmtId="45" fontId="11" fillId="36" borderId="22" xfId="0" applyNumberFormat="1" applyFont="1" applyFill="1" applyBorder="1" applyAlignment="1" applyProtection="1">
      <alignment horizontal="center" vertical="center" wrapText="1"/>
      <protection/>
    </xf>
    <xf numFmtId="45" fontId="11" fillId="37" borderId="17" xfId="0" applyNumberFormat="1" applyFont="1" applyFill="1" applyBorder="1" applyAlignment="1" applyProtection="1">
      <alignment horizontal="center" vertical="center" wrapText="1"/>
      <protection/>
    </xf>
    <xf numFmtId="45" fontId="11" fillId="37" borderId="19" xfId="0" applyNumberFormat="1" applyFont="1" applyFill="1" applyBorder="1" applyAlignment="1" applyProtection="1">
      <alignment horizontal="center" vertical="center" wrapText="1"/>
      <protection/>
    </xf>
    <xf numFmtId="45" fontId="11" fillId="37" borderId="23" xfId="0" applyNumberFormat="1" applyFont="1" applyFill="1" applyBorder="1" applyAlignment="1" applyProtection="1">
      <alignment horizontal="center" vertical="center" wrapText="1"/>
      <protection/>
    </xf>
    <xf numFmtId="45" fontId="11" fillId="38" borderId="24" xfId="0" applyNumberFormat="1" applyFont="1" applyFill="1" applyBorder="1" applyAlignment="1" applyProtection="1">
      <alignment horizontal="center" vertical="center" wrapText="1"/>
      <protection/>
    </xf>
    <xf numFmtId="45" fontId="11" fillId="38" borderId="25" xfId="0" applyNumberFormat="1" applyFont="1" applyFill="1" applyBorder="1" applyAlignment="1" applyProtection="1">
      <alignment horizontal="center" vertical="center" wrapText="1"/>
      <protection/>
    </xf>
    <xf numFmtId="45" fontId="11" fillId="38" borderId="26" xfId="0" applyNumberFormat="1" applyFont="1" applyFill="1" applyBorder="1" applyAlignment="1" applyProtection="1">
      <alignment horizontal="center" vertical="center" wrapText="1"/>
      <protection/>
    </xf>
    <xf numFmtId="0" fontId="10" fillId="37" borderId="27" xfId="0" applyNumberFormat="1" applyFont="1" applyFill="1" applyBorder="1" applyAlignment="1" applyProtection="1">
      <alignment horizontal="center" vertical="center" wrapText="1"/>
      <protection/>
    </xf>
    <xf numFmtId="0" fontId="11" fillId="37" borderId="20" xfId="0" applyNumberFormat="1" applyFont="1" applyFill="1" applyBorder="1" applyAlignment="1" applyProtection="1">
      <alignment horizontal="center" vertical="center" wrapText="1"/>
      <protection/>
    </xf>
    <xf numFmtId="0" fontId="10" fillId="37" borderId="20" xfId="0" applyNumberFormat="1" applyFont="1" applyFill="1" applyBorder="1" applyAlignment="1" applyProtection="1">
      <alignment horizontal="center" vertical="center" wrapText="1"/>
      <protection/>
    </xf>
    <xf numFmtId="45" fontId="11" fillId="37" borderId="20" xfId="0" applyNumberFormat="1" applyFont="1" applyFill="1" applyBorder="1" applyAlignment="1" applyProtection="1">
      <alignment horizontal="center" vertical="center" wrapText="1"/>
      <protection/>
    </xf>
    <xf numFmtId="166" fontId="10" fillId="37" borderId="20" xfId="0" applyNumberFormat="1" applyFont="1" applyFill="1" applyBorder="1" applyAlignment="1" applyProtection="1">
      <alignment horizontal="center" vertical="center" wrapText="1"/>
      <protection/>
    </xf>
    <xf numFmtId="45" fontId="11" fillId="37" borderId="28" xfId="0" applyNumberFormat="1" applyFont="1" applyFill="1" applyBorder="1" applyAlignment="1" applyProtection="1">
      <alignment horizontal="center" vertical="center" wrapText="1"/>
      <protection/>
    </xf>
    <xf numFmtId="45" fontId="11" fillId="36" borderId="29" xfId="0" applyNumberFormat="1" applyFont="1" applyFill="1" applyBorder="1" applyAlignment="1" applyProtection="1">
      <alignment horizontal="center" vertical="center" wrapText="1"/>
      <protection/>
    </xf>
    <xf numFmtId="45" fontId="11" fillId="37" borderId="27" xfId="0" applyNumberFormat="1" applyFont="1" applyFill="1" applyBorder="1" applyAlignment="1" applyProtection="1">
      <alignment horizontal="center" vertical="center" wrapText="1"/>
      <protection/>
    </xf>
    <xf numFmtId="45" fontId="11" fillId="37" borderId="29" xfId="0" applyNumberFormat="1" applyFont="1" applyFill="1" applyBorder="1" applyAlignment="1" applyProtection="1">
      <alignment horizontal="center" vertical="center" wrapText="1"/>
      <protection/>
    </xf>
    <xf numFmtId="45" fontId="11" fillId="38" borderId="30" xfId="0" applyNumberFormat="1" applyFont="1" applyFill="1" applyBorder="1" applyAlignment="1" applyProtection="1">
      <alignment horizontal="center" vertical="center" wrapText="1"/>
      <protection/>
    </xf>
    <xf numFmtId="45" fontId="11" fillId="38" borderId="12" xfId="0" applyNumberFormat="1" applyFont="1" applyFill="1" applyBorder="1" applyAlignment="1" applyProtection="1">
      <alignment horizontal="center" vertical="center" wrapText="1"/>
      <protection/>
    </xf>
    <xf numFmtId="45" fontId="11" fillId="38" borderId="31" xfId="0" applyNumberFormat="1" applyFont="1" applyFill="1" applyBorder="1" applyAlignment="1" applyProtection="1">
      <alignment horizontal="center" vertical="center" wrapText="1"/>
      <protection/>
    </xf>
    <xf numFmtId="0" fontId="10" fillId="37" borderId="32" xfId="0" applyNumberFormat="1" applyFont="1" applyFill="1" applyBorder="1" applyAlignment="1" applyProtection="1">
      <alignment horizontal="center" vertical="center" wrapText="1"/>
      <protection/>
    </xf>
    <xf numFmtId="0" fontId="11" fillId="37" borderId="33" xfId="0" applyNumberFormat="1" applyFont="1" applyFill="1" applyBorder="1" applyAlignment="1" applyProtection="1">
      <alignment horizontal="center" vertical="center" wrapText="1"/>
      <protection/>
    </xf>
    <xf numFmtId="0" fontId="10" fillId="37" borderId="33" xfId="0" applyNumberFormat="1" applyFont="1" applyFill="1" applyBorder="1" applyAlignment="1" applyProtection="1">
      <alignment horizontal="center" vertical="center" wrapText="1"/>
      <protection/>
    </xf>
    <xf numFmtId="45" fontId="11" fillId="37" borderId="25" xfId="0" applyNumberFormat="1" applyFont="1" applyFill="1" applyBorder="1" applyAlignment="1" applyProtection="1">
      <alignment horizontal="center" vertical="center" wrapText="1"/>
      <protection/>
    </xf>
    <xf numFmtId="166" fontId="10" fillId="37" borderId="33" xfId="0" applyNumberFormat="1" applyFont="1" applyFill="1" applyBorder="1" applyAlignment="1" applyProtection="1">
      <alignment horizontal="center" vertical="center" wrapText="1"/>
      <protection/>
    </xf>
    <xf numFmtId="45" fontId="11" fillId="37" borderId="34" xfId="0" applyNumberFormat="1" applyFont="1" applyFill="1" applyBorder="1" applyAlignment="1" applyProtection="1">
      <alignment horizontal="center" vertical="center" wrapText="1"/>
      <protection/>
    </xf>
    <xf numFmtId="45" fontId="11" fillId="37" borderId="33" xfId="0" applyNumberFormat="1" applyFont="1" applyFill="1" applyBorder="1" applyAlignment="1" applyProtection="1">
      <alignment horizontal="center" vertical="center" wrapText="1"/>
      <protection/>
    </xf>
    <xf numFmtId="45" fontId="11" fillId="37" borderId="35" xfId="0" applyNumberFormat="1" applyFont="1" applyFill="1" applyBorder="1" applyAlignment="1" applyProtection="1">
      <alignment horizontal="center" vertical="center" wrapText="1"/>
      <protection/>
    </xf>
    <xf numFmtId="45" fontId="11" fillId="37" borderId="32" xfId="0" applyNumberFormat="1" applyFont="1" applyFill="1" applyBorder="1" applyAlignment="1" applyProtection="1">
      <alignment horizontal="center" vertical="center" wrapText="1"/>
      <protection/>
    </xf>
    <xf numFmtId="45" fontId="12" fillId="37" borderId="33" xfId="0" applyNumberFormat="1" applyFont="1" applyFill="1" applyBorder="1" applyAlignment="1" applyProtection="1">
      <alignment horizontal="center" vertical="center" wrapText="1"/>
      <protection/>
    </xf>
    <xf numFmtId="45" fontId="11" fillId="38" borderId="36" xfId="0" applyNumberFormat="1" applyFont="1" applyFill="1" applyBorder="1" applyAlignment="1" applyProtection="1">
      <alignment horizontal="center" vertical="center" wrapText="1"/>
      <protection/>
    </xf>
    <xf numFmtId="45" fontId="11" fillId="38" borderId="37" xfId="0" applyNumberFormat="1" applyFont="1" applyFill="1" applyBorder="1" applyAlignment="1" applyProtection="1">
      <alignment horizontal="center" vertical="center" wrapText="1"/>
      <protection/>
    </xf>
    <xf numFmtId="45" fontId="11" fillId="38" borderId="38" xfId="0" applyNumberFormat="1" applyFont="1" applyFill="1" applyBorder="1" applyAlignment="1" applyProtection="1">
      <alignment horizontal="center" vertical="center" wrapText="1"/>
      <protection/>
    </xf>
    <xf numFmtId="0" fontId="10" fillId="38" borderId="20" xfId="0" applyNumberFormat="1" applyFont="1" applyFill="1" applyBorder="1" applyAlignment="1" applyProtection="1">
      <alignment horizontal="center" vertical="center" wrapText="1"/>
      <protection/>
    </xf>
    <xf numFmtId="0" fontId="11" fillId="38" borderId="20" xfId="0" applyNumberFormat="1" applyFont="1" applyFill="1" applyBorder="1" applyAlignment="1" applyProtection="1">
      <alignment horizontal="center" vertical="top" wrapText="1"/>
      <protection/>
    </xf>
    <xf numFmtId="167" fontId="10" fillId="38" borderId="20" xfId="0" applyNumberFormat="1" applyFont="1" applyFill="1" applyBorder="1" applyAlignment="1" applyProtection="1">
      <alignment horizontal="center" vertical="top" wrapText="1"/>
      <protection/>
    </xf>
    <xf numFmtId="45" fontId="11" fillId="38" borderId="20" xfId="0" applyNumberFormat="1" applyFont="1" applyFill="1" applyBorder="1" applyAlignment="1" applyProtection="1">
      <alignment horizontal="center" vertical="center" wrapText="1"/>
      <protection/>
    </xf>
    <xf numFmtId="166" fontId="10" fillId="38" borderId="20" xfId="0" applyNumberFormat="1" applyFont="1" applyFill="1" applyBorder="1" applyAlignment="1" applyProtection="1">
      <alignment horizontal="center" vertical="center" wrapText="1"/>
      <protection/>
    </xf>
    <xf numFmtId="45" fontId="12" fillId="38" borderId="39" xfId="0" applyNumberFormat="1" applyFont="1" applyFill="1" applyBorder="1" applyAlignment="1" applyProtection="1">
      <alignment horizontal="center" vertical="center" wrapText="1"/>
      <protection/>
    </xf>
    <xf numFmtId="45" fontId="12" fillId="38" borderId="20" xfId="0" applyNumberFormat="1" applyFont="1" applyFill="1" applyBorder="1" applyAlignment="1" applyProtection="1">
      <alignment horizontal="center" vertical="center" wrapText="1"/>
      <protection/>
    </xf>
    <xf numFmtId="45" fontId="12" fillId="38" borderId="29" xfId="0" applyNumberFormat="1" applyFont="1" applyFill="1" applyBorder="1" applyAlignment="1" applyProtection="1">
      <alignment horizontal="center" vertical="center" wrapText="1"/>
      <protection/>
    </xf>
    <xf numFmtId="45" fontId="11" fillId="38" borderId="27" xfId="0" applyNumberFormat="1" applyFont="1" applyFill="1" applyBorder="1" applyAlignment="1" applyProtection="1">
      <alignment horizontal="center" vertical="center" wrapText="1"/>
      <protection/>
    </xf>
    <xf numFmtId="45" fontId="11" fillId="38" borderId="29" xfId="0" applyNumberFormat="1" applyFont="1" applyFill="1" applyBorder="1" applyAlignment="1" applyProtection="1">
      <alignment horizontal="center" vertical="center" wrapText="1"/>
      <protection/>
    </xf>
    <xf numFmtId="0" fontId="10" fillId="38" borderId="12" xfId="0" applyNumberFormat="1" applyFont="1" applyFill="1" applyBorder="1" applyAlignment="1" applyProtection="1">
      <alignment horizontal="center" vertical="center" wrapText="1"/>
      <protection/>
    </xf>
    <xf numFmtId="0" fontId="11" fillId="38" borderId="12" xfId="0" applyNumberFormat="1" applyFont="1" applyFill="1" applyBorder="1" applyAlignment="1" applyProtection="1">
      <alignment horizontal="center" vertical="top" wrapText="1"/>
      <protection/>
    </xf>
    <xf numFmtId="167" fontId="10" fillId="38" borderId="12" xfId="0" applyNumberFormat="1" applyFont="1" applyFill="1" applyBorder="1" applyAlignment="1" applyProtection="1">
      <alignment horizontal="center" vertical="top" wrapText="1"/>
      <protection/>
    </xf>
    <xf numFmtId="166" fontId="10" fillId="38" borderId="12" xfId="0" applyNumberFormat="1" applyFont="1" applyFill="1" applyBorder="1" applyAlignment="1" applyProtection="1">
      <alignment horizontal="center" vertical="center" wrapText="1"/>
      <protection/>
    </xf>
    <xf numFmtId="45" fontId="12" fillId="38" borderId="30" xfId="0" applyNumberFormat="1" applyFont="1" applyFill="1" applyBorder="1" applyAlignment="1" applyProtection="1">
      <alignment horizontal="center" vertical="center" wrapText="1"/>
      <protection/>
    </xf>
    <xf numFmtId="45" fontId="12" fillId="38" borderId="12" xfId="0" applyNumberFormat="1" applyFont="1" applyFill="1" applyBorder="1" applyAlignment="1" applyProtection="1">
      <alignment horizontal="center" vertical="center" wrapText="1"/>
      <protection/>
    </xf>
    <xf numFmtId="45" fontId="12" fillId="38" borderId="31" xfId="0" applyNumberFormat="1" applyFont="1" applyFill="1" applyBorder="1" applyAlignment="1" applyProtection="1">
      <alignment horizontal="center" vertical="center" wrapText="1"/>
      <protection/>
    </xf>
    <xf numFmtId="45" fontId="11" fillId="38" borderId="40" xfId="0" applyNumberFormat="1" applyFont="1" applyFill="1" applyBorder="1" applyAlignment="1" applyProtection="1">
      <alignment horizontal="center" vertical="center" wrapText="1"/>
      <protection/>
    </xf>
    <xf numFmtId="0" fontId="10" fillId="38" borderId="33" xfId="0" applyNumberFormat="1" applyFont="1" applyFill="1" applyBorder="1" applyAlignment="1" applyProtection="1">
      <alignment horizontal="center" vertical="center" wrapText="1"/>
      <protection/>
    </xf>
    <xf numFmtId="0" fontId="11" fillId="38" borderId="33" xfId="0" applyNumberFormat="1" applyFont="1" applyFill="1" applyBorder="1" applyAlignment="1" applyProtection="1">
      <alignment horizontal="center" vertical="top" wrapText="1"/>
      <protection/>
    </xf>
    <xf numFmtId="167" fontId="10" fillId="38" borderId="33" xfId="0" applyNumberFormat="1" applyFont="1" applyFill="1" applyBorder="1" applyAlignment="1" applyProtection="1">
      <alignment horizontal="center" vertical="top" wrapText="1"/>
      <protection/>
    </xf>
    <xf numFmtId="45" fontId="11" fillId="38" borderId="33" xfId="0" applyNumberFormat="1" applyFont="1" applyFill="1" applyBorder="1" applyAlignment="1" applyProtection="1">
      <alignment horizontal="center" vertical="center" wrapText="1"/>
      <protection/>
    </xf>
    <xf numFmtId="166" fontId="10" fillId="38" borderId="33" xfId="0" applyNumberFormat="1" applyFont="1" applyFill="1" applyBorder="1" applyAlignment="1" applyProtection="1">
      <alignment horizontal="center" vertical="center" wrapText="1"/>
      <protection/>
    </xf>
    <xf numFmtId="45" fontId="12" fillId="38" borderId="34" xfId="0" applyNumberFormat="1" applyFont="1" applyFill="1" applyBorder="1" applyAlignment="1" applyProtection="1">
      <alignment horizontal="center" vertical="center" wrapText="1"/>
      <protection/>
    </xf>
    <xf numFmtId="45" fontId="12" fillId="38" borderId="33" xfId="0" applyNumberFormat="1" applyFont="1" applyFill="1" applyBorder="1" applyAlignment="1" applyProtection="1">
      <alignment horizontal="center" vertical="center" wrapText="1"/>
      <protection/>
    </xf>
    <xf numFmtId="45" fontId="12" fillId="38" borderId="35" xfId="0" applyNumberFormat="1" applyFont="1" applyFill="1" applyBorder="1" applyAlignment="1" applyProtection="1">
      <alignment horizontal="center" vertical="center" wrapText="1"/>
      <protection/>
    </xf>
    <xf numFmtId="45" fontId="11" fillId="38" borderId="32" xfId="0" applyNumberFormat="1" applyFont="1" applyFill="1" applyBorder="1" applyAlignment="1" applyProtection="1">
      <alignment horizontal="center" vertical="center" wrapText="1"/>
      <protection/>
    </xf>
    <xf numFmtId="45" fontId="11" fillId="38" borderId="35" xfId="0" applyNumberFormat="1" applyFont="1" applyFill="1" applyBorder="1" applyAlignment="1" applyProtection="1">
      <alignment horizontal="center" vertical="center" wrapText="1"/>
      <protection/>
    </xf>
    <xf numFmtId="0" fontId="6" fillId="34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167" fontId="10" fillId="0" borderId="10" xfId="0" applyNumberFormat="1" applyFont="1" applyBorder="1" applyAlignment="1" applyProtection="1">
      <alignment horizontal="center" vertical="center" wrapText="1"/>
      <protection/>
    </xf>
    <xf numFmtId="166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 applyProtection="1">
      <alignment horizontal="left" vertical="top" wrapText="1"/>
      <protection/>
    </xf>
    <xf numFmtId="0" fontId="10" fillId="39" borderId="15" xfId="0" applyNumberFormat="1" applyFont="1" applyFill="1" applyBorder="1" applyAlignment="1" applyProtection="1">
      <alignment horizontal="center" vertical="top" wrapText="1"/>
      <protection/>
    </xf>
    <xf numFmtId="0" fontId="10" fillId="39" borderId="10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Font="1" applyFill="1" applyBorder="1" applyAlignment="1" applyProtection="1">
      <alignment horizontal="center"/>
      <protection/>
    </xf>
    <xf numFmtId="0" fontId="10" fillId="39" borderId="41" xfId="0" applyNumberFormat="1" applyFont="1" applyFill="1" applyBorder="1" applyAlignment="1" applyProtection="1">
      <alignment horizontal="center" vertical="top" wrapText="1"/>
      <protection/>
    </xf>
    <xf numFmtId="0" fontId="10" fillId="39" borderId="25" xfId="0" applyNumberFormat="1" applyFont="1" applyFill="1" applyBorder="1" applyAlignment="1" applyProtection="1">
      <alignment horizontal="center" vertical="center" wrapText="1"/>
      <protection/>
    </xf>
    <xf numFmtId="0" fontId="14" fillId="39" borderId="26" xfId="0" applyFont="1" applyFill="1" applyBorder="1" applyAlignment="1" applyProtection="1">
      <alignment horizontal="center" vertical="center"/>
      <protection/>
    </xf>
    <xf numFmtId="0" fontId="14" fillId="39" borderId="31" xfId="0" applyFont="1" applyFill="1" applyBorder="1" applyAlignment="1" applyProtection="1">
      <alignment horizontal="center" vertical="center"/>
      <protection/>
    </xf>
    <xf numFmtId="0" fontId="10" fillId="39" borderId="40" xfId="0" applyNumberFormat="1" applyFont="1" applyFill="1" applyBorder="1" applyAlignment="1" applyProtection="1">
      <alignment horizontal="center" vertical="top" wrapText="1"/>
      <protection/>
    </xf>
    <xf numFmtId="0" fontId="10" fillId="39" borderId="12" xfId="0" applyNumberFormat="1" applyFont="1" applyFill="1" applyBorder="1" applyAlignment="1" applyProtection="1">
      <alignment horizontal="center" vertical="center" wrapText="1"/>
      <protection/>
    </xf>
    <xf numFmtId="0" fontId="10" fillId="39" borderId="32" xfId="0" applyNumberFormat="1" applyFont="1" applyFill="1" applyBorder="1" applyAlignment="1" applyProtection="1">
      <alignment horizontal="center" vertical="top" wrapText="1"/>
      <protection/>
    </xf>
    <xf numFmtId="0" fontId="10" fillId="39" borderId="33" xfId="0" applyNumberFormat="1" applyFont="1" applyFill="1" applyBorder="1" applyAlignment="1" applyProtection="1">
      <alignment horizontal="center" vertical="center" wrapText="1"/>
      <protection/>
    </xf>
    <xf numFmtId="0" fontId="14" fillId="39" borderId="35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13" fillId="40" borderId="0" xfId="0" applyFont="1" applyFill="1" applyAlignment="1">
      <alignment horizontal="right"/>
    </xf>
    <xf numFmtId="168" fontId="15" fillId="40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/>
    </xf>
    <xf numFmtId="169" fontId="15" fillId="40" borderId="0" xfId="0" applyNumberFormat="1" applyFont="1" applyFill="1" applyAlignment="1">
      <alignment horizontal="right"/>
    </xf>
    <xf numFmtId="0" fontId="15" fillId="40" borderId="0" xfId="0" applyFont="1" applyFill="1" applyAlignment="1">
      <alignment horizontal="right"/>
    </xf>
    <xf numFmtId="0" fontId="0" fillId="0" borderId="0" xfId="0" applyFill="1" applyAlignment="1">
      <alignment/>
    </xf>
    <xf numFmtId="0" fontId="15" fillId="40" borderId="0" xfId="0" applyFont="1" applyFill="1" applyAlignment="1">
      <alignment/>
    </xf>
    <xf numFmtId="2" fontId="16" fillId="41" borderId="13" xfId="0" applyNumberFormat="1" applyFont="1" applyFill="1" applyBorder="1" applyAlignment="1">
      <alignment horizontal="right"/>
    </xf>
    <xf numFmtId="2" fontId="16" fillId="40" borderId="0" xfId="0" applyNumberFormat="1" applyFont="1" applyFill="1" applyAlignment="1">
      <alignment horizontal="right"/>
    </xf>
    <xf numFmtId="0" fontId="18" fillId="40" borderId="0" xfId="0" applyFont="1" applyFill="1" applyAlignment="1">
      <alignment/>
    </xf>
    <xf numFmtId="0" fontId="19" fillId="40" borderId="0" xfId="0" applyFont="1" applyFill="1" applyAlignment="1">
      <alignment/>
    </xf>
    <xf numFmtId="9" fontId="15" fillId="40" borderId="0" xfId="0" applyNumberFormat="1" applyFont="1" applyFill="1" applyAlignment="1">
      <alignment horizontal="center"/>
    </xf>
    <xf numFmtId="9" fontId="15" fillId="40" borderId="0" xfId="0" applyNumberFormat="1" applyFont="1" applyFill="1" applyAlignment="1">
      <alignment/>
    </xf>
    <xf numFmtId="9" fontId="15" fillId="40" borderId="13" xfId="0" applyNumberFormat="1" applyFont="1" applyFill="1" applyBorder="1" applyAlignment="1">
      <alignment horizontal="center"/>
    </xf>
    <xf numFmtId="2" fontId="0" fillId="40" borderId="13" xfId="0" applyNumberFormat="1" applyFill="1" applyBorder="1" applyAlignment="1">
      <alignment horizontal="center"/>
    </xf>
    <xf numFmtId="0" fontId="15" fillId="40" borderId="13" xfId="0" applyFont="1" applyFill="1" applyBorder="1" applyAlignment="1">
      <alignment horizontal="center"/>
    </xf>
    <xf numFmtId="2" fontId="0" fillId="40" borderId="0" xfId="0" applyNumberFormat="1" applyFill="1" applyBorder="1" applyAlignment="1">
      <alignment horizontal="center"/>
    </xf>
    <xf numFmtId="1" fontId="0" fillId="40" borderId="13" xfId="0" applyNumberFormat="1" applyFill="1" applyBorder="1" applyAlignment="1">
      <alignment horizontal="center"/>
    </xf>
    <xf numFmtId="1" fontId="0" fillId="42" borderId="13" xfId="0" applyNumberFormat="1" applyFill="1" applyBorder="1" applyAlignment="1">
      <alignment horizontal="center"/>
    </xf>
    <xf numFmtId="1" fontId="0" fillId="40" borderId="0" xfId="0" applyNumberFormat="1" applyFill="1" applyBorder="1" applyAlignment="1">
      <alignment horizontal="center"/>
    </xf>
    <xf numFmtId="2" fontId="0" fillId="40" borderId="0" xfId="0" applyNumberFormat="1" applyFill="1" applyAlignment="1">
      <alignment/>
    </xf>
    <xf numFmtId="0" fontId="15" fillId="40" borderId="0" xfId="0" applyFont="1" applyFill="1" applyBorder="1" applyAlignment="1">
      <alignment/>
    </xf>
    <xf numFmtId="1" fontId="0" fillId="40" borderId="0" xfId="0" applyNumberFormat="1" applyFill="1" applyBorder="1" applyAlignment="1">
      <alignment/>
    </xf>
    <xf numFmtId="0" fontId="15" fillId="40" borderId="0" xfId="0" applyFont="1" applyFill="1" applyBorder="1" applyAlignment="1">
      <alignment horizontal="center"/>
    </xf>
    <xf numFmtId="2" fontId="0" fillId="42" borderId="13" xfId="0" applyNumberFormat="1" applyFill="1" applyBorder="1" applyAlignment="1">
      <alignment horizontal="center"/>
    </xf>
    <xf numFmtId="2" fontId="0" fillId="40" borderId="0" xfId="0" applyNumberFormat="1" applyFill="1" applyBorder="1" applyAlignment="1">
      <alignment/>
    </xf>
    <xf numFmtId="2" fontId="0" fillId="43" borderId="13" xfId="0" applyNumberFormat="1" applyFill="1" applyBorder="1" applyAlignment="1">
      <alignment horizontal="center"/>
    </xf>
    <xf numFmtId="21" fontId="0" fillId="0" borderId="13" xfId="0" applyNumberFormat="1" applyFill="1" applyBorder="1" applyAlignment="1">
      <alignment horizontal="center"/>
    </xf>
    <xf numFmtId="0" fontId="5" fillId="44" borderId="13" xfId="0" applyFont="1" applyFill="1" applyBorder="1" applyAlignment="1" applyProtection="1">
      <alignment horizontal="center" vertical="center"/>
      <protection/>
    </xf>
    <xf numFmtId="0" fontId="8" fillId="36" borderId="42" xfId="0" applyNumberFormat="1" applyFont="1" applyFill="1" applyBorder="1" applyAlignment="1" applyProtection="1">
      <alignment horizontal="center" vertical="center" wrapText="1"/>
      <protection/>
    </xf>
    <xf numFmtId="0" fontId="8" fillId="37" borderId="42" xfId="0" applyNumberFormat="1" applyFont="1" applyFill="1" applyBorder="1" applyAlignment="1" applyProtection="1">
      <alignment horizontal="center" vertical="center" wrapText="1"/>
      <protection/>
    </xf>
    <xf numFmtId="0" fontId="8" fillId="38" borderId="43" xfId="0" applyNumberFormat="1" applyFont="1" applyFill="1" applyBorder="1" applyAlignment="1" applyProtection="1">
      <alignment horizontal="center" vertical="center" wrapText="1"/>
      <protection/>
    </xf>
    <xf numFmtId="0" fontId="6" fillId="38" borderId="15" xfId="0" applyNumberFormat="1" applyFont="1" applyFill="1" applyBorder="1" applyAlignment="1" applyProtection="1">
      <alignment horizontal="center" vertical="center" wrapText="1"/>
      <protection/>
    </xf>
    <xf numFmtId="0" fontId="6" fillId="39" borderId="13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47625</xdr:rowOff>
    </xdr:from>
    <xdr:to>
      <xdr:col>5</xdr:col>
      <xdr:colOff>228600</xdr:colOff>
      <xdr:row>1</xdr:row>
      <xdr:rowOff>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2333625" y="47625"/>
          <a:ext cx="1952625" cy="466725"/>
        </a:xfrm>
        <a:prstGeom prst="rect">
          <a:avLst/>
        </a:prstGeom>
        <a:solidFill>
          <a:srgbClr val="FF000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Entrer votre VMA ici</a:t>
          </a:r>
        </a:p>
      </xdr:txBody>
    </xdr:sp>
    <xdr:clientData/>
  </xdr:twoCellAnchor>
  <xdr:twoCellAnchor>
    <xdr:from>
      <xdr:col>2</xdr:col>
      <xdr:colOff>114300</xdr:colOff>
      <xdr:row>0</xdr:row>
      <xdr:rowOff>190500</xdr:rowOff>
    </xdr:from>
    <xdr:to>
      <xdr:col>2</xdr:col>
      <xdr:colOff>457200</xdr:colOff>
      <xdr:row>0</xdr:row>
      <xdr:rowOff>476250</xdr:rowOff>
    </xdr:to>
    <xdr:sp>
      <xdr:nvSpPr>
        <xdr:cNvPr id="2" name="Flèche gauche 2"/>
        <xdr:cNvSpPr>
          <a:spLocks/>
        </xdr:cNvSpPr>
      </xdr:nvSpPr>
      <xdr:spPr>
        <a:xfrm>
          <a:off x="1885950" y="190500"/>
          <a:ext cx="342900" cy="285750"/>
        </a:xfrm>
        <a:prstGeom prst="leftArrow">
          <a:avLst>
            <a:gd name="adj" fmla="val -8620"/>
          </a:avLst>
        </a:prstGeom>
        <a:solidFill>
          <a:srgbClr val="FF0000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762000</xdr:colOff>
      <xdr:row>5</xdr:row>
      <xdr:rowOff>314325</xdr:rowOff>
    </xdr:from>
    <xdr:to>
      <xdr:col>4</xdr:col>
      <xdr:colOff>95250</xdr:colOff>
      <xdr:row>9</xdr:row>
      <xdr:rowOff>38100</xdr:rowOff>
    </xdr:to>
    <xdr:sp>
      <xdr:nvSpPr>
        <xdr:cNvPr id="3" name="Ellipse 5"/>
        <xdr:cNvSpPr>
          <a:spLocks/>
        </xdr:cNvSpPr>
      </xdr:nvSpPr>
      <xdr:spPr>
        <a:xfrm>
          <a:off x="2533650" y="1924050"/>
          <a:ext cx="857250" cy="981075"/>
        </a:xfrm>
        <a:prstGeom prst="ellipse">
          <a:avLst/>
        </a:prstGeom>
        <a:noFill/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762000</xdr:colOff>
      <xdr:row>11</xdr:row>
      <xdr:rowOff>200025</xdr:rowOff>
    </xdr:from>
    <xdr:to>
      <xdr:col>2</xdr:col>
      <xdr:colOff>133350</xdr:colOff>
      <xdr:row>17</xdr:row>
      <xdr:rowOff>76200</xdr:rowOff>
    </xdr:to>
    <xdr:sp>
      <xdr:nvSpPr>
        <xdr:cNvPr id="4" name="Ellipse 6"/>
        <xdr:cNvSpPr>
          <a:spLocks/>
        </xdr:cNvSpPr>
      </xdr:nvSpPr>
      <xdr:spPr>
        <a:xfrm>
          <a:off x="762000" y="3581400"/>
          <a:ext cx="1143000" cy="1076325"/>
        </a:xfrm>
        <a:prstGeom prst="ellipse">
          <a:avLst/>
        </a:prstGeom>
        <a:noFill/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38100</xdr:rowOff>
    </xdr:from>
    <xdr:to>
      <xdr:col>3</xdr:col>
      <xdr:colOff>476250</xdr:colOff>
      <xdr:row>14</xdr:row>
      <xdr:rowOff>152400</xdr:rowOff>
    </xdr:to>
    <xdr:sp>
      <xdr:nvSpPr>
        <xdr:cNvPr id="5" name="Connecteur en angle 8"/>
        <xdr:cNvSpPr>
          <a:spLocks/>
        </xdr:cNvSpPr>
      </xdr:nvSpPr>
      <xdr:spPr>
        <a:xfrm flipV="1">
          <a:off x="1905000" y="2905125"/>
          <a:ext cx="1104900" cy="1228725"/>
        </a:xfrm>
        <a:prstGeom prst="bentConnector3">
          <a:avLst>
            <a:gd name="adj" fmla="val 100458"/>
          </a:avLst>
        </a:prstGeom>
        <a:noFill/>
        <a:ln w="9360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180975</xdr:rowOff>
    </xdr:from>
    <xdr:to>
      <xdr:col>9</xdr:col>
      <xdr:colOff>200025</xdr:colOff>
      <xdr:row>17</xdr:row>
      <xdr:rowOff>0</xdr:rowOff>
    </xdr:to>
    <xdr:sp fLocksText="0">
      <xdr:nvSpPr>
        <xdr:cNvPr id="6" name="ZoneTexte 9"/>
        <xdr:cNvSpPr txBox="1">
          <a:spLocks noChangeArrowheads="1"/>
        </xdr:cNvSpPr>
      </xdr:nvSpPr>
      <xdr:spPr>
        <a:xfrm>
          <a:off x="3048000" y="3962400"/>
          <a:ext cx="3505200" cy="619125"/>
        </a:xfrm>
        <a:prstGeom prst="rect">
          <a:avLst/>
        </a:prstGeom>
        <a:solidFill>
          <a:srgbClr val="FFFFFF"/>
        </a:solidFill>
        <a:ln w="936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 : Suivant vos différents temps réalisés récemment sur des courses de 10km, 21km et marathon. Vous pouvez estimer ou réajuster votre VMA.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11.421875" style="1" customWidth="1"/>
    <col min="2" max="2" width="15.140625" style="1" customWidth="1"/>
    <col min="3" max="5" width="11.421875" style="1" customWidth="1"/>
    <col min="6" max="6" width="7.8515625" style="1" customWidth="1"/>
    <col min="7" max="9" width="8.8515625" style="1" customWidth="1"/>
    <col min="10" max="13" width="9.421875" style="1" customWidth="1"/>
    <col min="14" max="18" width="9.7109375" style="1" customWidth="1"/>
    <col min="19" max="19" width="11.421875" style="1" customWidth="1"/>
    <col min="20" max="21" width="0" style="1" hidden="1" customWidth="1"/>
    <col min="22" max="16384" width="11.421875" style="1" customWidth="1"/>
  </cols>
  <sheetData>
    <row r="1" spans="1:18" ht="40.5" customHeight="1">
      <c r="A1" s="2" t="s">
        <v>3</v>
      </c>
      <c r="B1" s="3">
        <v>17.4</v>
      </c>
      <c r="E1" s="4"/>
      <c r="F1" s="4"/>
      <c r="G1" s="138" t="s">
        <v>4</v>
      </c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21" s="7" customFormat="1" ht="21" customHeight="1">
      <c r="A2" s="5"/>
      <c r="B2" s="6"/>
      <c r="G2" s="139" t="s">
        <v>5</v>
      </c>
      <c r="H2" s="139"/>
      <c r="I2" s="139"/>
      <c r="J2" s="140" t="s">
        <v>6</v>
      </c>
      <c r="K2" s="140"/>
      <c r="L2" s="140"/>
      <c r="M2" s="140"/>
      <c r="N2" s="141" t="s">
        <v>7</v>
      </c>
      <c r="O2" s="141"/>
      <c r="P2" s="141"/>
      <c r="Q2" s="141"/>
      <c r="R2" s="141"/>
      <c r="T2" s="8" t="s">
        <v>8</v>
      </c>
      <c r="U2" s="8">
        <v>0.0416666666666667</v>
      </c>
    </row>
    <row r="3" spans="1:19" ht="15.75">
      <c r="A3" s="9"/>
      <c r="B3" s="10"/>
      <c r="C3" s="11" t="s">
        <v>9</v>
      </c>
      <c r="D3" s="12" t="s">
        <v>10</v>
      </c>
      <c r="E3" s="11" t="s">
        <v>11</v>
      </c>
      <c r="F3" s="11" t="s">
        <v>2</v>
      </c>
      <c r="G3" s="13">
        <v>100</v>
      </c>
      <c r="H3" s="14">
        <v>200</v>
      </c>
      <c r="I3" s="15">
        <v>300</v>
      </c>
      <c r="J3" s="16">
        <v>400</v>
      </c>
      <c r="K3" s="17">
        <v>500</v>
      </c>
      <c r="L3" s="17">
        <v>600</v>
      </c>
      <c r="M3" s="18">
        <v>800</v>
      </c>
      <c r="N3" s="19">
        <v>1000</v>
      </c>
      <c r="O3" s="20">
        <v>1500</v>
      </c>
      <c r="P3" s="20">
        <v>2000</v>
      </c>
      <c r="Q3" s="20">
        <v>3000</v>
      </c>
      <c r="R3" s="21">
        <v>5000</v>
      </c>
      <c r="S3" s="22" t="s">
        <v>12</v>
      </c>
    </row>
    <row r="4" spans="1:18" ht="24.75" customHeight="1">
      <c r="A4" s="9"/>
      <c r="B4" s="23" t="s">
        <v>13</v>
      </c>
      <c r="C4" s="24">
        <v>105</v>
      </c>
      <c r="D4" s="25" t="s">
        <v>14</v>
      </c>
      <c r="E4" s="26">
        <f>+$U$2*N3/($C$4*$B$1/100*1000)</f>
        <v>0.0022806057288815933</v>
      </c>
      <c r="F4" s="27">
        <f>B1*C4/100</f>
        <v>18.269999999999996</v>
      </c>
      <c r="G4" s="28">
        <f>+$U$2*$G$3/(C4*$B$1/100*1000)</f>
        <v>0.0002280605728881593</v>
      </c>
      <c r="H4" s="29">
        <f>+$U$2*$H$3/(C4*$B$1/100*1000)</f>
        <v>0.0004561211457763186</v>
      </c>
      <c r="I4" s="30">
        <f>+$U$2*I3/(C4*$B$1/100*1000)</f>
        <v>0.0006841817186644779</v>
      </c>
      <c r="J4" s="31"/>
      <c r="K4" s="32"/>
      <c r="L4" s="32"/>
      <c r="M4" s="33"/>
      <c r="N4" s="34"/>
      <c r="O4" s="35"/>
      <c r="P4" s="35"/>
      <c r="Q4" s="35"/>
      <c r="R4" s="36"/>
    </row>
    <row r="5" spans="1:18" ht="24.75" customHeight="1">
      <c r="A5" s="9"/>
      <c r="B5" s="37" t="s">
        <v>13</v>
      </c>
      <c r="C5" s="38">
        <v>100</v>
      </c>
      <c r="D5" s="39" t="s">
        <v>15</v>
      </c>
      <c r="E5" s="40">
        <f>+$U$2*N3/($C$5*$B$1/100*1000)</f>
        <v>0.0023946360153256725</v>
      </c>
      <c r="F5" s="41">
        <f>B1*C5/100</f>
        <v>17.4</v>
      </c>
      <c r="G5" s="42"/>
      <c r="H5" s="32"/>
      <c r="I5" s="43">
        <f>+$U$2*I3/($C$5*$B$1/100*1000)</f>
        <v>0.0007183908045977017</v>
      </c>
      <c r="J5" s="44">
        <f>+$U$2*J3/($C$5*$B$1/100*1000)</f>
        <v>0.0009578544061302689</v>
      </c>
      <c r="K5" s="40">
        <f>+$U$2*K3/($C$5*$B$1/100*1000)</f>
        <v>0.0011973180076628362</v>
      </c>
      <c r="L5" s="40">
        <f>+$U$2*L3/($C$5*$B$1/100*1000)</f>
        <v>0.0014367816091954034</v>
      </c>
      <c r="M5" s="45">
        <f>+$U$2*M3/($C$5*$B$1/100*1000)</f>
        <v>0.0019157088122605378</v>
      </c>
      <c r="N5" s="46"/>
      <c r="O5" s="47"/>
      <c r="P5" s="47">
        <f>+$U$2*P3/($C$5*$B$1/100*1000)</f>
        <v>0.004789272030651345</v>
      </c>
      <c r="Q5" s="47"/>
      <c r="R5" s="48"/>
    </row>
    <row r="6" spans="1:27" ht="24.75" customHeight="1">
      <c r="A6" s="9"/>
      <c r="B6" s="49" t="s">
        <v>13</v>
      </c>
      <c r="C6" s="50">
        <v>95</v>
      </c>
      <c r="D6" s="51" t="s">
        <v>16</v>
      </c>
      <c r="E6" s="52">
        <f>+$U$2*N3/($C$6*$B$1/100*1000)</f>
        <v>0.002520669489816498</v>
      </c>
      <c r="F6" s="53">
        <f>B1*C6/100</f>
        <v>16.529999999999998</v>
      </c>
      <c r="G6" s="54"/>
      <c r="H6" s="55"/>
      <c r="I6" s="56"/>
      <c r="J6" s="57"/>
      <c r="K6" s="58"/>
      <c r="L6" s="55">
        <f>+$U$2*L3/($C$6*$B$1/100*1000)</f>
        <v>0.0015124016938898985</v>
      </c>
      <c r="M6" s="56">
        <f>+$U$2*M3/($C$6*$B$1/100*1000)</f>
        <v>0.0020165355918531983</v>
      </c>
      <c r="N6" s="59"/>
      <c r="O6" s="60"/>
      <c r="P6" s="60"/>
      <c r="Q6" s="60"/>
      <c r="R6" s="61"/>
      <c r="Z6" s="10"/>
      <c r="AA6" s="10"/>
    </row>
    <row r="7" spans="1:27" ht="24.75" customHeight="1">
      <c r="A7" s="142" t="s">
        <v>7</v>
      </c>
      <c r="B7" s="62" t="s">
        <v>17</v>
      </c>
      <c r="C7" s="63">
        <v>88</v>
      </c>
      <c r="D7" s="64">
        <f>+$U$2*10000/(C7*$B$1/100*1000)</f>
        <v>0.027211772901428097</v>
      </c>
      <c r="E7" s="65">
        <f>+$U$2*N3/($C$7*$B$1/100*1000)</f>
        <v>0.00272117729014281</v>
      </c>
      <c r="F7" s="66">
        <f>B1*C7/100</f>
        <v>15.311999999999998</v>
      </c>
      <c r="G7" s="67"/>
      <c r="H7" s="68"/>
      <c r="I7" s="68"/>
      <c r="J7" s="68"/>
      <c r="K7" s="68"/>
      <c r="L7" s="40">
        <f>+$U$2*L3/($C$7*$B$1/100*1000)</f>
        <v>0.0016327063740856859</v>
      </c>
      <c r="M7" s="69"/>
      <c r="N7" s="70">
        <f>+$U$2*N3/($C$7*$B$1/100*1000)</f>
        <v>0.00272117729014281</v>
      </c>
      <c r="O7" s="65">
        <f>+$U$2*O3/($C$7*$B$1/100*1000)</f>
        <v>0.0040817659352142144</v>
      </c>
      <c r="P7" s="65">
        <f>+$U$2*P3/($C$7*$B$1/100*1000)</f>
        <v>0.00544235458028562</v>
      </c>
      <c r="Q7" s="65">
        <f>+$U$2*Q3/($C$7*$B$1/100*1000)</f>
        <v>0.008163531870428429</v>
      </c>
      <c r="R7" s="71">
        <f>+$U$2*R3/($C$7*$B$1/100*1000)</f>
        <v>0.013605886450714049</v>
      </c>
      <c r="Z7" s="10"/>
      <c r="AA7" s="10"/>
    </row>
    <row r="8" spans="1:18" ht="24.75" customHeight="1">
      <c r="A8" s="142"/>
      <c r="B8" s="72" t="s">
        <v>18</v>
      </c>
      <c r="C8" s="73">
        <v>85</v>
      </c>
      <c r="D8" s="74">
        <f>+$U$2*21095/(C8*$B$1/100*1000)</f>
        <v>0.05942923146270008</v>
      </c>
      <c r="E8" s="47">
        <f>+$U$2*N3/($C$8*$B$1/100*1000)</f>
        <v>0.0028172188415596148</v>
      </c>
      <c r="F8" s="75">
        <f>B1*C8/100</f>
        <v>14.789999999999997</v>
      </c>
      <c r="G8" s="76"/>
      <c r="H8" s="77"/>
      <c r="I8" s="77"/>
      <c r="J8" s="77"/>
      <c r="K8" s="77"/>
      <c r="L8" s="77"/>
      <c r="M8" s="78"/>
      <c r="N8" s="79">
        <f>+$U$2*N3/($C$8*$B$1/100*1000)</f>
        <v>0.0028172188415596148</v>
      </c>
      <c r="O8" s="47">
        <f>+$U$2*O3/($C$8*$B$1/100*1000)</f>
        <v>0.004225828262339423</v>
      </c>
      <c r="P8" s="47">
        <f>+$U$2*P3/($C$8*$B$1/100*1000)</f>
        <v>0.0056344376831192295</v>
      </c>
      <c r="Q8" s="47">
        <f>+$U$2*Q3/($C$8*$B$1/100*1000)</f>
        <v>0.008451656524678846</v>
      </c>
      <c r="R8" s="48">
        <f>+$U$2*R3/($C$8*$B$1/100*1000)</f>
        <v>0.014086094207798074</v>
      </c>
    </row>
    <row r="9" spans="1:18" ht="24.75" customHeight="1">
      <c r="A9" s="142"/>
      <c r="B9" s="80" t="s">
        <v>19</v>
      </c>
      <c r="C9" s="81">
        <v>78</v>
      </c>
      <c r="D9" s="82">
        <f>+$U$2*42195/(C9*$B$1/100*1000)</f>
        <v>0.1295405982905984</v>
      </c>
      <c r="E9" s="83">
        <f>+$U$2*N3/($C$9*$B$1/100*1000)</f>
        <v>0.003070046173494452</v>
      </c>
      <c r="F9" s="84">
        <f>B1*C9/100</f>
        <v>13.571999999999997</v>
      </c>
      <c r="G9" s="85"/>
      <c r="H9" s="86"/>
      <c r="I9" s="86"/>
      <c r="J9" s="86"/>
      <c r="K9" s="86"/>
      <c r="L9" s="86"/>
      <c r="M9" s="87"/>
      <c r="N9" s="88">
        <f>+$U$2*N3/($C$9*$B$1/100*1000)</f>
        <v>0.003070046173494452</v>
      </c>
      <c r="O9" s="83">
        <f>+$U$2*O3/($C$9*$B$1/100*1000)</f>
        <v>0.004605069260241679</v>
      </c>
      <c r="P9" s="83">
        <f>+$U$2*P3/($C$9*$B$1/100*1000)</f>
        <v>0.006140092346988904</v>
      </c>
      <c r="Q9" s="83">
        <f>+$U$2*Q3/($C$9*$B$1/100*1000)</f>
        <v>0.009210138520483357</v>
      </c>
      <c r="R9" s="89">
        <f>+$U$2*R3/($C$9*$B$1/100*1000)</f>
        <v>0.01535023086747226</v>
      </c>
    </row>
    <row r="10" spans="1:18" ht="24.75" customHeight="1">
      <c r="A10" s="90"/>
      <c r="B10" s="91" t="s">
        <v>20</v>
      </c>
      <c r="C10" s="92">
        <v>65</v>
      </c>
      <c r="D10" s="93"/>
      <c r="E10" s="83">
        <f>+$U$2*N3/($C$10*$B$1/100*1000)</f>
        <v>0.0036840554081933423</v>
      </c>
      <c r="F10" s="94">
        <f>B1*C10/100</f>
        <v>11.31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.75">
      <c r="A11" s="9"/>
      <c r="B11" s="10"/>
      <c r="C11" s="10"/>
      <c r="D11" s="10"/>
      <c r="E11" s="4"/>
      <c r="F11" s="4"/>
      <c r="G11" s="10"/>
      <c r="H11" s="10"/>
      <c r="I11" s="95"/>
      <c r="J11" s="10"/>
      <c r="K11" s="10"/>
      <c r="L11" s="10"/>
      <c r="M11" s="10"/>
      <c r="N11" s="10"/>
      <c r="O11" s="10"/>
      <c r="P11" s="10"/>
      <c r="Q11" s="10"/>
      <c r="R11" s="10"/>
    </row>
    <row r="12" spans="1:3" ht="15.75" customHeight="1">
      <c r="A12" s="143" t="s">
        <v>21</v>
      </c>
      <c r="B12" s="143"/>
      <c r="C12" s="143"/>
    </row>
    <row r="13" spans="1:3" ht="15.75">
      <c r="A13" s="96" t="s">
        <v>12</v>
      </c>
      <c r="B13" s="97" t="s">
        <v>22</v>
      </c>
      <c r="C13" s="98" t="s">
        <v>23</v>
      </c>
    </row>
    <row r="14" spans="1:3" ht="15.75">
      <c r="A14" s="99" t="s">
        <v>24</v>
      </c>
      <c r="B14" s="100"/>
      <c r="C14" s="101"/>
    </row>
    <row r="15" spans="1:3" ht="15.75">
      <c r="A15" s="99" t="s">
        <v>17</v>
      </c>
      <c r="B15" s="100"/>
      <c r="C15" s="102"/>
    </row>
    <row r="16" spans="1:3" ht="15.75">
      <c r="A16" s="103" t="s">
        <v>18</v>
      </c>
      <c r="B16" s="104"/>
      <c r="C16" s="102"/>
    </row>
    <row r="17" spans="1:3" ht="15.75">
      <c r="A17" s="105" t="s">
        <v>19</v>
      </c>
      <c r="B17" s="106"/>
      <c r="C17" s="107"/>
    </row>
  </sheetData>
  <sheetProtection selectLockedCells="1" selectUnlockedCells="1"/>
  <mergeCells count="6">
    <mergeCell ref="G1:R1"/>
    <mergeCell ref="G2:I2"/>
    <mergeCell ref="J2:M2"/>
    <mergeCell ref="N2:R2"/>
    <mergeCell ref="A7:A9"/>
    <mergeCell ref="A12:C12"/>
  </mergeCells>
  <printOptions/>
  <pageMargins left="0.7" right="0.7" top="0.75" bottom="0.75" header="0.5118055555555555" footer="0.5118055555555555"/>
  <pageSetup horizontalDpi="300" verticalDpi="3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2:M33"/>
  <sheetViews>
    <sheetView zoomScalePageLayoutView="0" workbookViewId="0" topLeftCell="A1">
      <selection activeCell="I14" sqref="I14"/>
    </sheetView>
  </sheetViews>
  <sheetFormatPr defaultColWidth="11.421875" defaultRowHeight="15"/>
  <cols>
    <col min="13" max="13" width="0" style="0" hidden="1" customWidth="1"/>
  </cols>
  <sheetData>
    <row r="2" spans="2:13" ht="15.75">
      <c r="B2" s="108" t="s">
        <v>0</v>
      </c>
      <c r="C2" s="109"/>
      <c r="D2" s="110"/>
      <c r="E2" s="109"/>
      <c r="F2" s="108" t="s">
        <v>1</v>
      </c>
      <c r="G2" s="109"/>
      <c r="H2" s="110"/>
      <c r="I2" s="109"/>
      <c r="J2" s="108" t="s">
        <v>25</v>
      </c>
      <c r="K2" s="109"/>
      <c r="L2" s="111"/>
      <c r="M2" s="112">
        <v>41170</v>
      </c>
    </row>
    <row r="3" spans="2:13" ht="15">
      <c r="B3" s="108" t="s">
        <v>26</v>
      </c>
      <c r="C3" s="109"/>
      <c r="D3" s="113"/>
      <c r="E3" s="109"/>
      <c r="F3" s="108" t="s">
        <v>27</v>
      </c>
      <c r="G3" s="109"/>
      <c r="H3" s="114"/>
      <c r="I3" s="109"/>
      <c r="J3" s="108" t="s">
        <v>28</v>
      </c>
      <c r="K3" s="109"/>
      <c r="L3" s="114"/>
      <c r="M3" s="115"/>
    </row>
    <row r="4" spans="2:13" ht="15.75">
      <c r="B4" s="109" t="s">
        <v>29</v>
      </c>
      <c r="C4" s="109"/>
      <c r="D4" s="116"/>
      <c r="E4" s="109"/>
      <c r="F4" s="116" t="s">
        <v>30</v>
      </c>
      <c r="G4" s="109"/>
      <c r="H4" s="117">
        <v>15</v>
      </c>
      <c r="I4" s="109"/>
      <c r="J4" s="108" t="s">
        <v>31</v>
      </c>
      <c r="K4" s="109"/>
      <c r="L4" s="114" t="s">
        <v>32</v>
      </c>
      <c r="M4" s="115"/>
    </row>
    <row r="5" spans="2:13" ht="15.75">
      <c r="B5" s="109"/>
      <c r="C5" s="109"/>
      <c r="D5" s="109"/>
      <c r="E5" s="109"/>
      <c r="F5" s="116"/>
      <c r="G5" s="109"/>
      <c r="H5" s="118"/>
      <c r="I5" s="109"/>
      <c r="J5" s="108"/>
      <c r="K5" s="109"/>
      <c r="L5" s="114"/>
      <c r="M5" s="115"/>
    </row>
    <row r="6" spans="2:13" ht="15.75">
      <c r="B6" s="119" t="s">
        <v>33</v>
      </c>
      <c r="C6" s="120"/>
      <c r="D6" s="120"/>
      <c r="E6" s="121">
        <v>1.05</v>
      </c>
      <c r="F6" s="121">
        <v>1</v>
      </c>
      <c r="G6" s="121">
        <v>0.95</v>
      </c>
      <c r="H6" s="109"/>
      <c r="I6" s="121"/>
      <c r="J6" s="109"/>
      <c r="K6" s="109"/>
      <c r="L6" s="109"/>
      <c r="M6" s="115"/>
    </row>
    <row r="7" spans="2:13" ht="15">
      <c r="B7" s="122"/>
      <c r="C7" s="122"/>
      <c r="D7" s="123" t="s">
        <v>34</v>
      </c>
      <c r="E7" s="124">
        <f>$H$4*E6</f>
        <v>15.75</v>
      </c>
      <c r="F7" s="124">
        <f>$H$4*F6</f>
        <v>15</v>
      </c>
      <c r="G7" s="124">
        <f>$H$4*G6</f>
        <v>14.25</v>
      </c>
      <c r="H7" s="125" t="s">
        <v>35</v>
      </c>
      <c r="I7" s="126"/>
      <c r="J7" s="109"/>
      <c r="K7" s="109"/>
      <c r="L7" s="109"/>
      <c r="M7" s="115"/>
    </row>
    <row r="8" spans="2:13" ht="15">
      <c r="B8" s="116" t="s">
        <v>36</v>
      </c>
      <c r="C8" s="116"/>
      <c r="D8" s="125" t="s">
        <v>37</v>
      </c>
      <c r="E8" s="127">
        <f>($H$4*$E$6)/120*1000</f>
        <v>131.25</v>
      </c>
      <c r="F8" s="128">
        <f>($H$4*F$6)/120*1000</f>
        <v>125</v>
      </c>
      <c r="G8" s="127">
        <f>($H$4*G$6)/120*1000</f>
        <v>118.75</v>
      </c>
      <c r="H8" s="125" t="s">
        <v>38</v>
      </c>
      <c r="I8" s="129"/>
      <c r="J8" s="109"/>
      <c r="K8" s="109"/>
      <c r="L8" s="109"/>
      <c r="M8" s="115"/>
    </row>
    <row r="9" spans="2:13" ht="15">
      <c r="B9" s="109"/>
      <c r="C9" s="109"/>
      <c r="D9" s="125" t="s">
        <v>39</v>
      </c>
      <c r="E9" s="127">
        <f>($H$4*$E$6)/80*1000</f>
        <v>196.875</v>
      </c>
      <c r="F9" s="127">
        <f>($H$4*$F$6)/80*1000</f>
        <v>187.5</v>
      </c>
      <c r="G9" s="127">
        <f>($H$4*$G$6)/80*1000</f>
        <v>178.125</v>
      </c>
      <c r="H9" s="125" t="s">
        <v>38</v>
      </c>
      <c r="I9" s="129"/>
      <c r="J9" s="109"/>
      <c r="K9" s="109"/>
      <c r="L9" s="109"/>
      <c r="M9" s="115"/>
    </row>
    <row r="10" spans="2:13" ht="15">
      <c r="B10" s="109"/>
      <c r="C10" s="109"/>
      <c r="D10" s="125" t="s">
        <v>40</v>
      </c>
      <c r="E10" s="127">
        <f>($H$4*$E$6)/60*1000</f>
        <v>262.5</v>
      </c>
      <c r="F10" s="127">
        <f>($H$4*$F$6)/60*1000</f>
        <v>250</v>
      </c>
      <c r="G10" s="127">
        <f>($H$4*$G$6)/60*1000</f>
        <v>237.5</v>
      </c>
      <c r="H10" s="125" t="s">
        <v>38</v>
      </c>
      <c r="I10" s="129"/>
      <c r="J10" s="109"/>
      <c r="K10" s="109"/>
      <c r="L10" s="109"/>
      <c r="M10" s="115"/>
    </row>
    <row r="11" spans="2:13" ht="15">
      <c r="B11" s="116" t="s">
        <v>41</v>
      </c>
      <c r="C11" s="116"/>
      <c r="D11" s="125" t="s">
        <v>42</v>
      </c>
      <c r="E11" s="124">
        <f>(INT(60/($H$4*E$6)*0.1))+((((((60/($H$4*E$6)*0.1)-INT((60/($H$4*E$6)*0.1)))))*60)/100)</f>
        <v>0.22857142857142854</v>
      </c>
      <c r="F11" s="124">
        <f>(INT(60/($H$4*F$6)*0.1))+((((((60/($H$4*F$6)*0.1)-INT((60/($H$4*F$6)*0.1)))))*60)/100)</f>
        <v>0.24</v>
      </c>
      <c r="G11" s="124">
        <f>(INT(60/($H$4*G$6)*0.1))+((((((60/($H$4*G$6)*0.1)-INT((60/($H$4*G$6)*0.1)))))*60)/100)</f>
        <v>0.25263157894736843</v>
      </c>
      <c r="H11" s="125" t="s">
        <v>43</v>
      </c>
      <c r="I11" s="126"/>
      <c r="J11" s="109"/>
      <c r="K11" s="109"/>
      <c r="L11" s="109"/>
      <c r="M11" s="115"/>
    </row>
    <row r="12" spans="2:13" ht="15">
      <c r="B12" s="109"/>
      <c r="C12" s="109"/>
      <c r="D12" s="125" t="s">
        <v>44</v>
      </c>
      <c r="E12" s="124">
        <f>(INT(60/($H$4*E$6)*0.2))+((((((60/($H$4*E$6)*0.2)-INT((60/($H$4*E$6)*0.2)))))*60)/100)</f>
        <v>0.4571428571428571</v>
      </c>
      <c r="F12" s="124">
        <f>(INT(60/($H$4*F$6)*0.2))+((((((60/($H$4*F$6)*0.2)-INT((60/($H$4*F$6)*0.2)))))*60)/100)</f>
        <v>0.48</v>
      </c>
      <c r="G12" s="124">
        <f>(INT(60/($H$4*G$6)*0.2))+((((((60/($H$4*G$6)*0.2)-INT((60/($H$4*G$6)*0.2)))))*60)/100)</f>
        <v>0.5052631578947369</v>
      </c>
      <c r="H12" s="125" t="s">
        <v>43</v>
      </c>
      <c r="I12" s="126"/>
      <c r="J12" s="109"/>
      <c r="K12" s="109"/>
      <c r="L12" s="109"/>
      <c r="M12" s="115"/>
    </row>
    <row r="13" spans="2:13" ht="15">
      <c r="B13" s="109"/>
      <c r="C13" s="109"/>
      <c r="D13" s="125" t="s">
        <v>45</v>
      </c>
      <c r="E13" s="124">
        <f>(INT(60/($H$4*E$6)*0.3))+((((((60/($H$4*E$6)*0.3)-INT((60/($H$4*E$6)*0.3)))))*60)/100)</f>
        <v>1.0857142857142856</v>
      </c>
      <c r="F13" s="124">
        <f>(INT(60/($H$4*F$6)*0.3))+((((((60/($H$4*F$6)*0.3)-INT((60/($H$4*F$6)*0.3)))))*60)/100)</f>
        <v>1.1199999999999999</v>
      </c>
      <c r="G13" s="124">
        <f>(INT(60/($H$4*G$6)*0.3))+((((((60/($H$4*G$6)*0.3)-INT((60/($H$4*G$6)*0.3)))))*60)/100)</f>
        <v>1.1578947368421053</v>
      </c>
      <c r="H13" s="125" t="s">
        <v>43</v>
      </c>
      <c r="I13" s="126"/>
      <c r="J13" s="109"/>
      <c r="K13" s="130"/>
      <c r="L13" s="109"/>
      <c r="M13" s="115"/>
    </row>
    <row r="14" spans="2:13" ht="15">
      <c r="B14" s="109"/>
      <c r="C14" s="109"/>
      <c r="D14" s="131"/>
      <c r="E14" s="132"/>
      <c r="F14" s="132"/>
      <c r="G14" s="133"/>
      <c r="H14" s="109"/>
      <c r="I14" s="109"/>
      <c r="J14" s="109"/>
      <c r="K14" s="130"/>
      <c r="L14" s="109"/>
      <c r="M14" s="115"/>
    </row>
    <row r="15" spans="2:13" ht="15.75">
      <c r="B15" s="119" t="s">
        <v>46</v>
      </c>
      <c r="C15" s="120"/>
      <c r="D15" s="120"/>
      <c r="E15" s="121">
        <v>0.99</v>
      </c>
      <c r="F15" s="121">
        <v>0.97</v>
      </c>
      <c r="G15" s="121">
        <v>0.96</v>
      </c>
      <c r="H15" s="121">
        <v>0.95</v>
      </c>
      <c r="I15" s="109"/>
      <c r="J15" s="121"/>
      <c r="K15" s="109"/>
      <c r="L15" s="109"/>
      <c r="M15" s="115"/>
    </row>
    <row r="16" spans="2:13" ht="15">
      <c r="B16" s="109"/>
      <c r="C16" s="109"/>
      <c r="D16" s="125" t="s">
        <v>34</v>
      </c>
      <c r="E16" s="124">
        <f>$H$4*E15</f>
        <v>14.85</v>
      </c>
      <c r="F16" s="124">
        <f>$H$4*F15</f>
        <v>14.549999999999999</v>
      </c>
      <c r="G16" s="124">
        <f>$H$4*G15</f>
        <v>14.399999999999999</v>
      </c>
      <c r="H16" s="124">
        <f>$H$4*H15</f>
        <v>14.25</v>
      </c>
      <c r="I16" s="125" t="s">
        <v>35</v>
      </c>
      <c r="J16" s="126"/>
      <c r="K16" s="109"/>
      <c r="L16" s="109"/>
      <c r="M16" s="115"/>
    </row>
    <row r="17" spans="2:13" ht="15">
      <c r="B17" s="116" t="s">
        <v>36</v>
      </c>
      <c r="C17" s="109"/>
      <c r="D17" s="125" t="s">
        <v>47</v>
      </c>
      <c r="E17" s="127">
        <f>(($H$4/10)*$E$15)*1000</f>
        <v>1484.9999999999998</v>
      </c>
      <c r="F17" s="127">
        <f>(($H$4/10)*$F$15)*1000</f>
        <v>1455</v>
      </c>
      <c r="G17" s="127">
        <f>(($H$4/10)*$G$15)*1000</f>
        <v>1440</v>
      </c>
      <c r="H17" s="127">
        <f>(($H$4/10)*$H$15)*1000</f>
        <v>1424.9999999999998</v>
      </c>
      <c r="I17" s="125" t="s">
        <v>38</v>
      </c>
      <c r="J17" s="129"/>
      <c r="K17" s="109"/>
      <c r="L17" s="109"/>
      <c r="M17" s="115"/>
    </row>
    <row r="18" spans="2:13" ht="15">
      <c r="B18" s="116" t="s">
        <v>41</v>
      </c>
      <c r="C18" s="109"/>
      <c r="D18" s="125" t="s">
        <v>48</v>
      </c>
      <c r="E18" s="134">
        <f>(INT(60/($H$4*E$15)*0.4))+((((((60/($H$4*E$15)*0.4)-INT((60/($H$4*E$15)*0.4)))))*60)/100)</f>
        <v>1.3696969696969699</v>
      </c>
      <c r="F18" s="124">
        <f>(INT(60/($H$4*F$15)*0.4))+((((((60/($H$4*F$15)*0.4)-INT((60/($H$4*F$15)*0.4)))))*60)/100)</f>
        <v>1.3896907216494847</v>
      </c>
      <c r="G18" s="124">
        <f>(INT(60/($H$4*G$15)*0.4))+((((((60/($H$4*G$15)*0.4)-INT((60/($H$4*G$15)*0.4)))))*60)/100)</f>
        <v>1.4000000000000001</v>
      </c>
      <c r="H18" s="124">
        <f>(INT(60/($H$4*H$15)*0.4))+((((((60/($H$4*H$15)*0.4)-INT((60/($H$4*H$15)*0.4)))))*60)/100)</f>
        <v>1.4105263157894736</v>
      </c>
      <c r="I18" s="125" t="s">
        <v>43</v>
      </c>
      <c r="J18" s="126"/>
      <c r="K18" s="130"/>
      <c r="L18" s="109"/>
      <c r="M18" s="115"/>
    </row>
    <row r="19" spans="2:13" ht="15">
      <c r="B19" s="109"/>
      <c r="C19" s="109"/>
      <c r="D19" s="125" t="s">
        <v>49</v>
      </c>
      <c r="E19" s="124">
        <f>(INT(60/($H$4*E$15)*0.5))+((((((60/($H$4*E$15)*0.5)-INT((60/($H$4*E$15)*0.5)))))*60)/100)</f>
        <v>2.012121212121212</v>
      </c>
      <c r="F19" s="124">
        <f>(INT(60/($H$4*F$15)*0.5))+((((((60/($H$4*F$15)*0.5)-INT((60/($H$4*F$15)*0.5)))))*60)/100)</f>
        <v>2.037113402061856</v>
      </c>
      <c r="G19" s="124">
        <f>(INT(60/($H$4*G$15)*0.5))+((((((60/($H$4*G$15)*0.5)-INT((60/($H$4*G$15)*0.5)))))*60)/100)</f>
        <v>2.0500000000000003</v>
      </c>
      <c r="H19" s="124">
        <f>(INT(60/($H$4*H$15)*0.5))+((((((60/($H$4*H$15)*0.5)-INT((60/($H$4*H$15)*0.5)))))*60)/100)</f>
        <v>2.063157894736842</v>
      </c>
      <c r="I19" s="125" t="s">
        <v>43</v>
      </c>
      <c r="J19" s="126"/>
      <c r="K19" s="130"/>
      <c r="L19" s="109"/>
      <c r="M19" s="115"/>
    </row>
    <row r="20" spans="2:13" ht="15">
      <c r="B20" s="109"/>
      <c r="C20" s="109"/>
      <c r="D20" s="125" t="s">
        <v>50</v>
      </c>
      <c r="E20" s="124">
        <f>(INT(60/($H$4*E$15)*0.6))+((((((60/($H$4*E$15)*0.6)-INT((60/($H$4*E$15)*0.6)))))*60)/100)</f>
        <v>2.254545454545455</v>
      </c>
      <c r="F20" s="124">
        <f>(INT(60/($H$4*F$15)*0.6))+((((((60/($H$4*F$15)*0.6)-INT((60/($H$4*F$15)*0.6)))))*60)/100)</f>
        <v>2.2845360824742267</v>
      </c>
      <c r="G20" s="124">
        <f>(INT(60/($H$4*G$15)*0.6))+((((((60/($H$4*G$15)*0.6)-INT((60/($H$4*G$15)*0.6)))))*60)/100)</f>
        <v>2.3</v>
      </c>
      <c r="H20" s="124">
        <f>(INT(60/($H$4*H$15)*0.6))+((((((60/($H$4*H$15)*0.6)-INT((60/($H$4*H$15)*0.6)))))*60)/100)</f>
        <v>2.3157894736842106</v>
      </c>
      <c r="I20" s="125" t="s">
        <v>43</v>
      </c>
      <c r="J20" s="126"/>
      <c r="K20" s="130"/>
      <c r="L20" s="109"/>
      <c r="M20" s="115"/>
    </row>
    <row r="21" spans="2:13" ht="15">
      <c r="B21" s="109"/>
      <c r="C21" s="109"/>
      <c r="D21" s="125" t="s">
        <v>51</v>
      </c>
      <c r="E21" s="124">
        <f>(INT(60/($H$4*E$15)*0.8))+((((((60/($H$4*E$15)*0.8)-INT((60/($H$4*E$15)*0.8)))))*60)/100)</f>
        <v>3.1393939393939396</v>
      </c>
      <c r="F21" s="124">
        <f>(INT(60/($H$4*F$15)*0.8))+((((((60/($H$4*F$15)*0.8)-INT((60/($H$4*F$15)*0.8)))))*60)/100)</f>
        <v>3.1793814432989693</v>
      </c>
      <c r="G21" s="124">
        <f>(INT(60/($H$4*G$15)*0.8))+((((((60/($H$4*G$15)*0.8)-INT((60/($H$4*G$15)*0.8)))))*60)/100)</f>
        <v>3.2</v>
      </c>
      <c r="H21" s="124">
        <f>(INT(60/($H$4*H$15)*0.8))+((((((60/($H$4*H$15)*0.8)-INT((60/($H$4*H$15)*0.8)))))*60)/100)</f>
        <v>3.221052631578947</v>
      </c>
      <c r="I21" s="125" t="s">
        <v>43</v>
      </c>
      <c r="J21" s="126"/>
      <c r="K21" s="130"/>
      <c r="L21" s="109"/>
      <c r="M21" s="115"/>
    </row>
    <row r="22" spans="2:13" ht="15">
      <c r="B22" s="109"/>
      <c r="C22" s="109"/>
      <c r="D22" s="125" t="s">
        <v>52</v>
      </c>
      <c r="E22" s="134">
        <f>(INT(60/($H$4*E$15)*1))+((((((60/($H$4*E$15)*1)-INT((60/($H$4*E$15)*1)))))*60)/100)</f>
        <v>4.024242424242424</v>
      </c>
      <c r="F22" s="124">
        <f>(INT(60/($H$4*F$15)*1))+((((((60/($H$4*F$15)*1)-INT((60/($H$4*F$15)*1)))))*60)/100)</f>
        <v>4.074226804123712</v>
      </c>
      <c r="G22" s="124">
        <f>(INT(60/($H$4*G$15)*1))+((((((60/($H$4*G$15)*1)-INT((60/($H$4*G$15)*1)))))*60)/100)</f>
        <v>4.1000000000000005</v>
      </c>
      <c r="H22" s="134">
        <f>(INT(60/($H$4*H$15)*1))+((((((60/($H$4*H$15)*1)-INT((60/($H$4*H$15)*1)))))*60)/100)</f>
        <v>4.126315789473684</v>
      </c>
      <c r="I22" s="125" t="s">
        <v>43</v>
      </c>
      <c r="J22" s="126"/>
      <c r="K22" s="130"/>
      <c r="L22" s="109"/>
      <c r="M22" s="115"/>
    </row>
    <row r="23" spans="2:13" ht="15">
      <c r="B23" s="109"/>
      <c r="C23" s="109"/>
      <c r="D23" s="131"/>
      <c r="E23" s="135"/>
      <c r="F23" s="135"/>
      <c r="G23" s="135"/>
      <c r="H23" s="135"/>
      <c r="I23" s="133"/>
      <c r="J23" s="109"/>
      <c r="K23" s="130"/>
      <c r="L23" s="130"/>
      <c r="M23" s="115"/>
    </row>
    <row r="24" spans="2:13" ht="15.75">
      <c r="B24" s="119" t="s">
        <v>53</v>
      </c>
      <c r="C24" s="120"/>
      <c r="D24" s="120"/>
      <c r="E24" s="121">
        <v>0.9</v>
      </c>
      <c r="F24" s="121">
        <v>0.85</v>
      </c>
      <c r="G24" s="121">
        <v>0.8</v>
      </c>
      <c r="H24" s="121">
        <v>0.77</v>
      </c>
      <c r="I24" s="121">
        <v>0.75</v>
      </c>
      <c r="J24" s="121">
        <v>0.7</v>
      </c>
      <c r="K24" s="121">
        <v>0.65</v>
      </c>
      <c r="L24" s="109"/>
      <c r="M24" s="115"/>
    </row>
    <row r="25" spans="2:13" ht="15">
      <c r="B25" s="109"/>
      <c r="C25" s="109"/>
      <c r="D25" s="125" t="s">
        <v>34</v>
      </c>
      <c r="E25" s="124">
        <f aca="true" t="shared" si="0" ref="E25:K25">$H$4*E24</f>
        <v>13.5</v>
      </c>
      <c r="F25" s="124">
        <f t="shared" si="0"/>
        <v>12.75</v>
      </c>
      <c r="G25" s="124">
        <f t="shared" si="0"/>
        <v>12</v>
      </c>
      <c r="H25" s="124">
        <f t="shared" si="0"/>
        <v>11.55</v>
      </c>
      <c r="I25" s="124">
        <f t="shared" si="0"/>
        <v>11.25</v>
      </c>
      <c r="J25" s="124">
        <f t="shared" si="0"/>
        <v>10.5</v>
      </c>
      <c r="K25" s="124">
        <f t="shared" si="0"/>
        <v>9.75</v>
      </c>
      <c r="L25" s="125" t="s">
        <v>35</v>
      </c>
      <c r="M25" s="115"/>
    </row>
    <row r="26" spans="2:13" ht="15">
      <c r="B26" s="109"/>
      <c r="C26" s="109"/>
      <c r="D26" s="125" t="s">
        <v>54</v>
      </c>
      <c r="E26" s="124">
        <f aca="true" t="shared" si="1" ref="E26:K26">((((60/E25)-(INT(60/E25)))*60)/100)+INT(60/E25)</f>
        <v>4.266666666666667</v>
      </c>
      <c r="F26" s="124">
        <f t="shared" si="1"/>
        <v>4.423529411764706</v>
      </c>
      <c r="G26" s="124">
        <f t="shared" si="1"/>
        <v>5</v>
      </c>
      <c r="H26" s="124">
        <f t="shared" si="1"/>
        <v>5.116883116883117</v>
      </c>
      <c r="I26" s="124">
        <f t="shared" si="1"/>
        <v>5.2</v>
      </c>
      <c r="J26" s="124">
        <f t="shared" si="1"/>
        <v>5.428571428571429</v>
      </c>
      <c r="K26" s="124">
        <f t="shared" si="1"/>
        <v>6.092307692307693</v>
      </c>
      <c r="L26" s="125" t="s">
        <v>55</v>
      </c>
      <c r="M26" s="115"/>
    </row>
    <row r="27" spans="2:13" ht="15">
      <c r="B27" s="116" t="s">
        <v>41</v>
      </c>
      <c r="C27" s="109"/>
      <c r="D27" s="125" t="s">
        <v>48</v>
      </c>
      <c r="E27" s="124">
        <f aca="true" t="shared" si="2" ref="E27:K27">(INT(60/($H$4*E$24)*0.4))+((((((60/($H$4*E$24)*0.4)-INT((60/($H$4*E$24)*0.4)))))*60)/100)</f>
        <v>1.4666666666666668</v>
      </c>
      <c r="F27" s="124">
        <f t="shared" si="2"/>
        <v>1.5294117647058825</v>
      </c>
      <c r="G27" s="124">
        <f t="shared" si="2"/>
        <v>2</v>
      </c>
      <c r="H27" s="124">
        <f t="shared" si="2"/>
        <v>2.046753246753247</v>
      </c>
      <c r="I27" s="124">
        <f t="shared" si="2"/>
        <v>2.08</v>
      </c>
      <c r="J27" s="124">
        <f t="shared" si="2"/>
        <v>2.1714285714285717</v>
      </c>
      <c r="K27" s="124">
        <f t="shared" si="2"/>
        <v>2.276923076923077</v>
      </c>
      <c r="L27" s="125" t="s">
        <v>43</v>
      </c>
      <c r="M27" s="115"/>
    </row>
    <row r="28" spans="2:13" ht="15">
      <c r="B28" s="116"/>
      <c r="C28" s="109"/>
      <c r="D28" s="125" t="s">
        <v>56</v>
      </c>
      <c r="E28" s="124">
        <f aca="true" t="shared" si="3" ref="E28:K28">(INT(60/($H$4*E$24)*1))+((((((60/($H$4*E$24)*1)-INT((60/($H$4*E$24)*1)))))*60)/100)</f>
        <v>4.266666666666667</v>
      </c>
      <c r="F28" s="124">
        <f t="shared" si="3"/>
        <v>4.423529411764706</v>
      </c>
      <c r="G28" s="124">
        <f t="shared" si="3"/>
        <v>5</v>
      </c>
      <c r="H28" s="124">
        <f t="shared" si="3"/>
        <v>5.116883116883117</v>
      </c>
      <c r="I28" s="124">
        <f t="shared" si="3"/>
        <v>5.2</v>
      </c>
      <c r="J28" s="124">
        <f t="shared" si="3"/>
        <v>5.428571428571429</v>
      </c>
      <c r="K28" s="124">
        <f t="shared" si="3"/>
        <v>6.092307692307693</v>
      </c>
      <c r="L28" s="125" t="s">
        <v>43</v>
      </c>
      <c r="M28" s="115"/>
    </row>
    <row r="29" spans="2:13" ht="15">
      <c r="B29" s="116"/>
      <c r="C29" s="109"/>
      <c r="D29" s="125" t="s">
        <v>57</v>
      </c>
      <c r="E29" s="124">
        <f aca="true" t="shared" si="4" ref="E29:K29">(INT(60/($H$4*E$24)*5))+((((((60/($H$4*E$24)*5)-INT((60/($H$4*E$24)*5)))))*60)/100)</f>
        <v>22.133333333333333</v>
      </c>
      <c r="F29" s="124">
        <f t="shared" si="4"/>
        <v>23.317647058823532</v>
      </c>
      <c r="G29" s="124">
        <f t="shared" si="4"/>
        <v>25</v>
      </c>
      <c r="H29" s="124">
        <f t="shared" si="4"/>
        <v>25.584415584415584</v>
      </c>
      <c r="I29" s="124">
        <f t="shared" si="4"/>
        <v>26.4</v>
      </c>
      <c r="J29" s="124">
        <f t="shared" si="4"/>
        <v>28.342857142857145</v>
      </c>
      <c r="K29" s="124">
        <f t="shared" si="4"/>
        <v>30.461538461538463</v>
      </c>
      <c r="L29" s="125" t="s">
        <v>43</v>
      </c>
      <c r="M29" s="115"/>
    </row>
    <row r="30" spans="2:13" ht="15">
      <c r="B30" s="109"/>
      <c r="C30" s="109"/>
      <c r="D30" s="125" t="s">
        <v>58</v>
      </c>
      <c r="E30" s="136">
        <f aca="true" t="shared" si="5" ref="E30:K30">(INT(60/($H$4*E$24)*10))+((((((60/($H$4*E$24)*10)-INT((60/($H$4*E$24)*10)))))*60)/100)</f>
        <v>44.266666666666666</v>
      </c>
      <c r="F30" s="124">
        <f t="shared" si="5"/>
        <v>47.03529411764706</v>
      </c>
      <c r="G30" s="124">
        <f t="shared" si="5"/>
        <v>50</v>
      </c>
      <c r="H30" s="124">
        <f t="shared" si="5"/>
        <v>51.56883116883117</v>
      </c>
      <c r="I30" s="124">
        <f t="shared" si="5"/>
        <v>53.199999999999996</v>
      </c>
      <c r="J30" s="124">
        <f t="shared" si="5"/>
        <v>57.08571428571429</v>
      </c>
      <c r="K30" s="124">
        <f t="shared" si="5"/>
        <v>61.323076923076925</v>
      </c>
      <c r="L30" s="125" t="s">
        <v>43</v>
      </c>
      <c r="M30" s="115"/>
    </row>
    <row r="31" spans="2:13" ht="15">
      <c r="B31" s="109"/>
      <c r="C31" s="109"/>
      <c r="D31" s="125" t="s">
        <v>59</v>
      </c>
      <c r="E31" s="137"/>
      <c r="F31" s="136">
        <f aca="true" t="shared" si="6" ref="F31:K31">(INT((60/($H$4*F$24)*21.1)/60))+(((((60/($H$4*F$24)*21.1)/60)-INT((60/($H$4*F$24)*21.1)/60))*60)/100)</f>
        <v>1.3929411764705883</v>
      </c>
      <c r="G31" s="124">
        <f t="shared" si="6"/>
        <v>1.455</v>
      </c>
      <c r="H31" s="124">
        <f t="shared" si="6"/>
        <v>1.4961038961038962</v>
      </c>
      <c r="I31" s="124">
        <f t="shared" si="6"/>
        <v>1.5253333333333332</v>
      </c>
      <c r="J31" s="124">
        <f t="shared" si="6"/>
        <v>2.005714285714286</v>
      </c>
      <c r="K31" s="124">
        <f t="shared" si="6"/>
        <v>2.098461538461539</v>
      </c>
      <c r="L31" s="125" t="s">
        <v>60</v>
      </c>
      <c r="M31" s="115"/>
    </row>
    <row r="32" spans="2:13" ht="15">
      <c r="B32" s="109"/>
      <c r="C32" s="109"/>
      <c r="D32" s="125" t="s">
        <v>19</v>
      </c>
      <c r="E32" s="137"/>
      <c r="F32" s="137"/>
      <c r="G32" s="136">
        <f>(INT((60/($H$4*G$24)*42.192)/60))+(((((60/($H$4*G$24)*42.192)/60)-INT((60/($H$4*G$24)*42.192)/60))*60)/100)</f>
        <v>3.3096</v>
      </c>
      <c r="H32" s="124">
        <f>(INT((60/($H$4*H$24)*42.192)/60))+(((((60/($H$4*H$24)*42.192)/60)-INT((60/($H$4*H$24)*42.192)/60))*60)/100)</f>
        <v>3.3917922077922076</v>
      </c>
      <c r="I32" s="124">
        <f>(INT((60/($H$4*I$24)*42.192)/60))+(((((60/($H$4*I$24)*42.192)/60)-INT((60/($H$4*I$24)*42.192)/60))*60)/100)</f>
        <v>3.45024</v>
      </c>
      <c r="J32" s="124">
        <f>(INT((60/($H$4*J$24)*42.192)/60))+(((((60/($H$4*J$24)*42.192)/60)-INT((60/($H$4*J$24)*42.192)/60))*60)/100)</f>
        <v>4.010971428571429</v>
      </c>
      <c r="K32" s="124">
        <f>(INT((60/($H$4*K$24)*42.192)/60))+(((((60/($H$4*K$24)*42.192)/60)-INT((60/($H$4*K$24)*42.192)/60))*60)/100)</f>
        <v>4.196430769230769</v>
      </c>
      <c r="L32" s="125" t="s">
        <v>60</v>
      </c>
      <c r="M32" s="115"/>
    </row>
    <row r="33" spans="2:13" ht="15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5"/>
    </row>
  </sheetData>
  <sheetProtection selectLockedCells="1" selectUnlockedCells="1"/>
  <printOptions/>
  <pageMargins left="0.1798611111111111" right="0.5798611111111112" top="0.6097222222222223" bottom="0.54027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</dc:creator>
  <cp:keywords/>
  <dc:description/>
  <cp:lastModifiedBy>Jean-noel Boutin</cp:lastModifiedBy>
  <cp:lastPrinted>2021-09-08T17:53:33Z</cp:lastPrinted>
  <dcterms:created xsi:type="dcterms:W3CDTF">2018-10-09T14:03:05Z</dcterms:created>
  <dcterms:modified xsi:type="dcterms:W3CDTF">2023-10-02T16:14:23Z</dcterms:modified>
  <cp:category/>
  <cp:version/>
  <cp:contentType/>
  <cp:contentStatus/>
</cp:coreProperties>
</file>