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96" yWindow="4716" windowWidth="19920" windowHeight="5052" activeTab="3"/>
  </bookViews>
  <sheets>
    <sheet name="VMA" sheetId="1" r:id="rId1"/>
    <sheet name="Tableau" sheetId="2" r:id="rId2"/>
    <sheet name="temps de passage" sheetId="3" r:id="rId3"/>
    <sheet name="temps de passage (2)" sheetId="4" r:id="rId4"/>
    <sheet name="equivalence" sheetId="5" r:id="rId5"/>
  </sheets>
  <definedNames/>
  <calcPr fullCalcOnLoad="1"/>
</workbook>
</file>

<file path=xl/comments2.xml><?xml version="1.0" encoding="utf-8"?>
<comments xmlns="http://schemas.openxmlformats.org/spreadsheetml/2006/main">
  <authors>
    <author> blot gr?gory</author>
  </authors>
  <commentList>
    <comment ref="B2" authorId="0">
      <text>
        <r>
          <rPr>
            <sz val="8"/>
            <rFont val="Tahoma"/>
            <family val="0"/>
          </rPr>
          <t>Entrez ici votre VMA</t>
        </r>
      </text>
    </comment>
  </commentList>
</comments>
</file>

<file path=xl/sharedStrings.xml><?xml version="1.0" encoding="utf-8"?>
<sst xmlns="http://schemas.openxmlformats.org/spreadsheetml/2006/main" count="222" uniqueCount="177">
  <si>
    <t>105%(vma)</t>
  </si>
  <si>
    <t>km/h</t>
  </si>
  <si>
    <t>10km</t>
  </si>
  <si>
    <t>21,1km</t>
  </si>
  <si>
    <t>marathon</t>
  </si>
  <si>
    <t>100%(vma)</t>
  </si>
  <si>
    <t>95%(vma)</t>
  </si>
  <si>
    <t>87%(vma)</t>
  </si>
  <si>
    <t>82%(vma)</t>
  </si>
  <si>
    <t>76%(vma)</t>
  </si>
  <si>
    <t>30"  30"</t>
  </si>
  <si>
    <t>200m</t>
  </si>
  <si>
    <t>300m</t>
  </si>
  <si>
    <t>400m</t>
  </si>
  <si>
    <t>1000m</t>
  </si>
  <si>
    <t>2000m</t>
  </si>
  <si>
    <t>3000m</t>
  </si>
  <si>
    <t>5000m</t>
  </si>
  <si>
    <t>10 KM</t>
  </si>
  <si>
    <t>21 KM</t>
  </si>
  <si>
    <t>MARATHON</t>
  </si>
  <si>
    <t>Noms</t>
  </si>
  <si>
    <t>TRAVAIL EN ENDURANCE = 65% DE LA VMA</t>
  </si>
  <si>
    <t>Quentin</t>
  </si>
  <si>
    <t>15,5 km/h</t>
  </si>
  <si>
    <t>THOULOUZE</t>
  </si>
  <si>
    <t>Ludovic</t>
  </si>
  <si>
    <t>Clément</t>
  </si>
  <si>
    <t>BOTTIN</t>
  </si>
  <si>
    <t>Léo</t>
  </si>
  <si>
    <t>16 km/h</t>
  </si>
  <si>
    <t>MANCA</t>
  </si>
  <si>
    <t>Denis</t>
  </si>
  <si>
    <t>Correspondance allure de course / distances / temps à effectuer</t>
  </si>
  <si>
    <t>VMA=</t>
  </si>
  <si>
    <t>Date:</t>
  </si>
  <si>
    <t>(en vert, la zone préférentielle de travail)</t>
  </si>
  <si>
    <t>Allure de course</t>
  </si>
  <si>
    <r>
      <t xml:space="preserve">Temps à effectuer </t>
    </r>
    <r>
      <rPr>
        <b/>
        <sz val="12"/>
        <color indexed="10"/>
        <rFont val="Arial"/>
        <family val="2"/>
      </rPr>
      <t>(en secondes)</t>
    </r>
    <r>
      <rPr>
        <b/>
        <sz val="12"/>
        <rFont val="Arial"/>
        <family val="2"/>
      </rPr>
      <t xml:space="preserve"> en fonction de la distance parcourue</t>
    </r>
  </si>
  <si>
    <t>25m</t>
  </si>
  <si>
    <t>50m</t>
  </si>
  <si>
    <t>75m</t>
  </si>
  <si>
    <t>100m</t>
  </si>
  <si>
    <t>150m</t>
  </si>
  <si>
    <t>500m</t>
  </si>
  <si>
    <t>600m</t>
  </si>
  <si>
    <t>800m</t>
  </si>
  <si>
    <t>120% VMA</t>
  </si>
  <si>
    <t>110% VMA</t>
  </si>
  <si>
    <t>105% VMA</t>
  </si>
  <si>
    <t>100% VMA</t>
  </si>
  <si>
    <t>95% VMA</t>
  </si>
  <si>
    <t>90% VMA</t>
  </si>
  <si>
    <t>85% VMA</t>
  </si>
  <si>
    <t>80% VMA</t>
  </si>
  <si>
    <t>75% VMA</t>
  </si>
  <si>
    <t>70% VMA</t>
  </si>
  <si>
    <t>60% VMA</t>
  </si>
  <si>
    <t>50% VMA</t>
  </si>
  <si>
    <r>
      <t xml:space="preserve">Temps à effectuer </t>
    </r>
    <r>
      <rPr>
        <b/>
        <sz val="12"/>
        <color indexed="10"/>
        <rFont val="Arial"/>
        <family val="2"/>
      </rPr>
      <t>(en minutes)</t>
    </r>
    <r>
      <rPr>
        <b/>
        <sz val="12"/>
        <rFont val="Arial"/>
        <family val="2"/>
      </rPr>
      <t xml:space="preserve"> en fonction de la distance parcourue</t>
    </r>
  </si>
  <si>
    <t>1200m</t>
  </si>
  <si>
    <t>1500m</t>
  </si>
  <si>
    <t>4000m</t>
  </si>
  <si>
    <t>6000m</t>
  </si>
  <si>
    <t>8000m</t>
  </si>
  <si>
    <t>10000m</t>
  </si>
  <si>
    <t>12000m</t>
  </si>
  <si>
    <t>15000m</t>
  </si>
  <si>
    <t>20000m</t>
  </si>
  <si>
    <t>BARADEL</t>
  </si>
  <si>
    <t>Baptiste</t>
  </si>
  <si>
    <t>Laurent</t>
  </si>
  <si>
    <t>DUBARRY</t>
  </si>
  <si>
    <t>Patrick</t>
  </si>
  <si>
    <t>ENTRESSANGLE</t>
  </si>
  <si>
    <t>Chantal</t>
  </si>
  <si>
    <t>GAUTIER</t>
  </si>
  <si>
    <t>Willy</t>
  </si>
  <si>
    <t>MIRON</t>
  </si>
  <si>
    <t>Serge</t>
  </si>
  <si>
    <t>PECQUET</t>
  </si>
  <si>
    <t>Mathieu</t>
  </si>
  <si>
    <t xml:space="preserve">PLASSE </t>
  </si>
  <si>
    <t>Benjamin</t>
  </si>
  <si>
    <t>POMMIES</t>
  </si>
  <si>
    <t>Stephanne</t>
  </si>
  <si>
    <t>PORNET</t>
  </si>
  <si>
    <t>Fabrice</t>
  </si>
  <si>
    <t>TARREL</t>
  </si>
  <si>
    <t>VARENNE</t>
  </si>
  <si>
    <t>VERNAY</t>
  </si>
  <si>
    <t>Nicolas</t>
  </si>
  <si>
    <t>16,3 km/h</t>
  </si>
  <si>
    <t>17,3 km/h</t>
  </si>
  <si>
    <t>BROYER</t>
  </si>
  <si>
    <t xml:space="preserve"> 17,1 km/h</t>
  </si>
  <si>
    <t>18,3 km/h</t>
  </si>
  <si>
    <t>13,3 km/h</t>
  </si>
  <si>
    <t>16,6 km/h</t>
  </si>
  <si>
    <t>16,5 km/h</t>
  </si>
  <si>
    <t>17,6 km/h</t>
  </si>
  <si>
    <t>18 km/h</t>
  </si>
  <si>
    <t>16,8 km/h</t>
  </si>
  <si>
    <t>19,4 km/h</t>
  </si>
  <si>
    <t>15,6 km/h</t>
  </si>
  <si>
    <t>V2</t>
  </si>
  <si>
    <t>J</t>
  </si>
  <si>
    <t>3h23'25"</t>
  </si>
  <si>
    <t>3h11'39"</t>
  </si>
  <si>
    <t>3h13'54"</t>
  </si>
  <si>
    <t>3h01'11"</t>
  </si>
  <si>
    <t>3h27'14"</t>
  </si>
  <si>
    <t>4h09'18"</t>
  </si>
  <si>
    <t>3h19'45"</t>
  </si>
  <si>
    <t>3h11'45"</t>
  </si>
  <si>
    <t>3h20'57"</t>
  </si>
  <si>
    <t>3h33'55"</t>
  </si>
  <si>
    <t>3h08'24"</t>
  </si>
  <si>
    <t>3h04'12"</t>
  </si>
  <si>
    <t>3h17'22"</t>
  </si>
  <si>
    <t>2h50'55"</t>
  </si>
  <si>
    <t>3h32'33"</t>
  </si>
  <si>
    <t>42'31"</t>
  </si>
  <si>
    <t>40'26"</t>
  </si>
  <si>
    <t xml:space="preserve"> 40'33"</t>
  </si>
  <si>
    <t>38'08"</t>
  </si>
  <si>
    <t>43'10"</t>
  </si>
  <si>
    <t>52'25"</t>
  </si>
  <si>
    <t>41'54"</t>
  </si>
  <si>
    <t>42'19"</t>
  </si>
  <si>
    <t>44'49"</t>
  </si>
  <si>
    <t>39'18"</t>
  </si>
  <si>
    <t>38'31"</t>
  </si>
  <si>
    <t>41'05"</t>
  </si>
  <si>
    <t>35'54"</t>
  </si>
  <si>
    <t>44'20"</t>
  </si>
  <si>
    <t>147m</t>
  </si>
  <si>
    <t>157m</t>
  </si>
  <si>
    <t>140m</t>
  </si>
  <si>
    <t>169m</t>
  </si>
  <si>
    <t>136m</t>
  </si>
  <si>
    <t>154m</t>
  </si>
  <si>
    <t>142m</t>
  </si>
  <si>
    <t>151m</t>
  </si>
  <si>
    <t>149m</t>
  </si>
  <si>
    <t>160m</t>
  </si>
  <si>
    <t>116m</t>
  </si>
  <si>
    <t>145m</t>
  </si>
  <si>
    <t>144m</t>
  </si>
  <si>
    <t>135m</t>
  </si>
  <si>
    <t>Prénoms</t>
  </si>
  <si>
    <t>Catég.</t>
  </si>
  <si>
    <t>VMA courte       type : 30/30</t>
  </si>
  <si>
    <t>1h34'16"</t>
  </si>
  <si>
    <t>1h28'49"</t>
  </si>
  <si>
    <t>1h29'51"</t>
  </si>
  <si>
    <t>1h23'57"</t>
  </si>
  <si>
    <t>1h36'02"</t>
  </si>
  <si>
    <t>1h55'31"</t>
  </si>
  <si>
    <t>1h32'33"</t>
  </si>
  <si>
    <t>1h33'07"</t>
  </si>
  <si>
    <t>1h39'08"</t>
  </si>
  <si>
    <t>1h27'18"</t>
  </si>
  <si>
    <t>1h25'21"</t>
  </si>
  <si>
    <t>1h31'27"</t>
  </si>
  <si>
    <t>1h36'02'</t>
  </si>
  <si>
    <t>1h19'12"</t>
  </si>
  <si>
    <t>1h38'29"</t>
  </si>
  <si>
    <t>11/07/1964</t>
  </si>
  <si>
    <t>26/03/1996</t>
  </si>
  <si>
    <t>V1</t>
  </si>
  <si>
    <t>CA</t>
  </si>
  <si>
    <t>VMA svt test : VAMEVAL</t>
  </si>
  <si>
    <t>OULLINS TRIATHLON</t>
  </si>
  <si>
    <t>P</t>
  </si>
  <si>
    <t>Date de naisance</t>
  </si>
  <si>
    <t>Date du test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</si>
</sst>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:ss.00"/>
    <numFmt numFmtId="173" formatCode="0.0&quot; km/h&quot;"/>
    <numFmt numFmtId="174" formatCode="0&quot; m&quot;"/>
    <numFmt numFmtId="175" formatCode="0&quot; km&quot;"/>
    <numFmt numFmtId="176" formatCode="[h]:mm:ss;@"/>
    <numFmt numFmtId="177" formatCode="0.0000"/>
    <numFmt numFmtId="178" formatCode="0.000"/>
    <numFmt numFmtId="179" formatCode="0.0"/>
  </numFmts>
  <fonts count="3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u val="single"/>
      <sz val="14"/>
      <color indexed="12"/>
      <name val="Arial"/>
      <family val="2"/>
    </font>
    <font>
      <b/>
      <sz val="12"/>
      <name val="Arial"/>
      <family val="2"/>
    </font>
    <font>
      <i/>
      <sz val="12"/>
      <color indexed="57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0"/>
      <color indexed="55"/>
      <name val="Arial"/>
      <family val="2"/>
    </font>
    <font>
      <b/>
      <sz val="10"/>
      <color indexed="14"/>
      <name val="Arial"/>
      <family val="2"/>
    </font>
    <font>
      <b/>
      <sz val="10"/>
      <color indexed="23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9"/>
      <color indexed="12"/>
      <name val="Arial"/>
      <family val="2"/>
    </font>
    <font>
      <b/>
      <sz val="9"/>
      <color indexed="16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8"/>
      <color indexed="16"/>
      <name val="Arial"/>
      <family val="2"/>
    </font>
    <font>
      <sz val="10"/>
      <color indexed="16"/>
      <name val="Arial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4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9" fontId="4" fillId="5" borderId="1" xfId="0" applyNumberFormat="1" applyFont="1" applyFill="1" applyBorder="1" applyAlignment="1">
      <alignment horizontal="center"/>
    </xf>
    <xf numFmtId="9" fontId="5" fillId="5" borderId="1" xfId="0" applyNumberFormat="1" applyFont="1" applyFill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0" fontId="0" fillId="6" borderId="1" xfId="0" applyFill="1" applyBorder="1" applyAlignment="1">
      <alignment/>
    </xf>
    <xf numFmtId="0" fontId="7" fillId="7" borderId="1" xfId="0" applyFont="1" applyFill="1" applyBorder="1" applyAlignment="1">
      <alignment/>
    </xf>
    <xf numFmtId="0" fontId="8" fillId="8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1" fillId="9" borderId="1" xfId="0" applyFont="1" applyFill="1" applyBorder="1" applyAlignment="1">
      <alignment horizontal="center" vertical="center"/>
    </xf>
    <xf numFmtId="2" fontId="11" fillId="9" borderId="1" xfId="0" applyNumberFormat="1" applyFont="1" applyFill="1" applyBorder="1" applyAlignment="1">
      <alignment vertical="center"/>
    </xf>
    <xf numFmtId="45" fontId="11" fillId="0" borderId="1" xfId="0" applyNumberFormat="1" applyFont="1" applyBorder="1" applyAlignment="1">
      <alignment vertical="center"/>
    </xf>
    <xf numFmtId="176" fontId="11" fillId="0" borderId="1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0" xfId="0" applyFill="1" applyBorder="1" applyAlignment="1">
      <alignment/>
    </xf>
    <xf numFmtId="0" fontId="16" fillId="10" borderId="2" xfId="0" applyFont="1" applyFill="1" applyBorder="1" applyAlignment="1">
      <alignment/>
    </xf>
    <xf numFmtId="2" fontId="16" fillId="10" borderId="3" xfId="0" applyNumberFormat="1" applyFont="1" applyFill="1" applyBorder="1" applyAlignment="1">
      <alignment/>
    </xf>
    <xf numFmtId="0" fontId="16" fillId="10" borderId="4" xfId="0" applyFont="1" applyFill="1" applyBorder="1" applyAlignment="1">
      <alignment/>
    </xf>
    <xf numFmtId="0" fontId="16" fillId="11" borderId="2" xfId="0" applyFont="1" applyFill="1" applyBorder="1" applyAlignment="1">
      <alignment/>
    </xf>
    <xf numFmtId="0" fontId="16" fillId="3" borderId="5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2" fontId="0" fillId="12" borderId="8" xfId="0" applyNumberFormat="1" applyFill="1" applyBorder="1" applyAlignment="1">
      <alignment horizontal="center"/>
    </xf>
    <xf numFmtId="2" fontId="0" fillId="12" borderId="9" xfId="0" applyNumberForma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1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12" borderId="12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12" borderId="17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12" borderId="6" xfId="0" applyNumberFormat="1" applyFill="1" applyBorder="1" applyAlignment="1">
      <alignment horizontal="center"/>
    </xf>
    <xf numFmtId="2" fontId="0" fillId="12" borderId="7" xfId="0" applyNumberForma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1" fillId="0" borderId="1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2" fontId="14" fillId="0" borderId="12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7" xfId="0" applyBorder="1" applyAlignment="1">
      <alignment/>
    </xf>
    <xf numFmtId="0" fontId="6" fillId="0" borderId="17" xfId="0" applyFont="1" applyFill="1" applyBorder="1" applyAlignment="1">
      <alignment horizontal="center"/>
    </xf>
    <xf numFmtId="177" fontId="23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17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177" fontId="23" fillId="0" borderId="10" xfId="0" applyNumberFormat="1" applyFont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14" fontId="25" fillId="0" borderId="12" xfId="0" applyNumberFormat="1" applyFont="1" applyFill="1" applyBorder="1" applyAlignment="1">
      <alignment horizontal="center" vertical="center"/>
    </xf>
    <xf numFmtId="14" fontId="26" fillId="0" borderId="19" xfId="0" applyNumberFormat="1" applyFont="1" applyBorder="1" applyAlignment="1">
      <alignment horizontal="center" vertical="center"/>
    </xf>
    <xf numFmtId="14" fontId="26" fillId="0" borderId="20" xfId="0" applyNumberFormat="1" applyFont="1" applyBorder="1" applyAlignment="1">
      <alignment horizontal="center" vertical="center"/>
    </xf>
    <xf numFmtId="14" fontId="26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NumberFormat="1" applyFont="1" applyBorder="1" applyAlignment="1" quotePrefix="1">
      <alignment horizontal="center"/>
    </xf>
    <xf numFmtId="0" fontId="25" fillId="0" borderId="12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8" fillId="0" borderId="22" xfId="0" applyFont="1" applyFill="1" applyBorder="1" applyAlignment="1">
      <alignment horizontal="center"/>
    </xf>
    <xf numFmtId="0" fontId="28" fillId="0" borderId="23" xfId="0" applyFont="1" applyFill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79" fontId="5" fillId="0" borderId="0" xfId="0" applyNumberFormat="1" applyFont="1" applyBorder="1" applyAlignment="1">
      <alignment horizontal="center"/>
    </xf>
    <xf numFmtId="179" fontId="22" fillId="0" borderId="0" xfId="0" applyNumberFormat="1" applyFont="1" applyBorder="1" applyAlignment="1">
      <alignment horizontal="center"/>
    </xf>
    <xf numFmtId="178" fontId="22" fillId="0" borderId="0" xfId="0" applyNumberFormat="1" applyFon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79" fontId="23" fillId="0" borderId="0" xfId="0" applyNumberFormat="1" applyFont="1" applyBorder="1" applyAlignment="1">
      <alignment horizontal="center"/>
    </xf>
    <xf numFmtId="178" fontId="23" fillId="0" borderId="0" xfId="0" applyNumberFormat="1" applyFont="1" applyBorder="1" applyAlignment="1">
      <alignment horizontal="center"/>
    </xf>
    <xf numFmtId="177" fontId="23" fillId="0" borderId="0" xfId="0" applyNumberFormat="1" applyFon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9" fontId="24" fillId="0" borderId="0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179" fontId="5" fillId="0" borderId="0" xfId="0" applyNumberFormat="1" applyFont="1" applyFill="1" applyBorder="1" applyAlignment="1">
      <alignment horizontal="center"/>
    </xf>
    <xf numFmtId="0" fontId="9" fillId="0" borderId="0" xfId="15" applyBorder="1" applyAlignment="1">
      <alignment/>
    </xf>
    <xf numFmtId="0" fontId="0" fillId="0" borderId="0" xfId="0" applyBorder="1" applyAlignment="1">
      <alignment/>
    </xf>
    <xf numFmtId="0" fontId="1" fillId="9" borderId="25" xfId="0" applyFont="1" applyFill="1" applyBorder="1" applyAlignment="1">
      <alignment horizontal="center" vertical="center" wrapText="1"/>
    </xf>
    <xf numFmtId="0" fontId="1" fillId="9" borderId="26" xfId="0" applyFont="1" applyFill="1" applyBorder="1" applyAlignment="1">
      <alignment horizontal="center" vertical="center" wrapText="1"/>
    </xf>
    <xf numFmtId="9" fontId="14" fillId="9" borderId="27" xfId="0" applyNumberFormat="1" applyFont="1" applyFill="1" applyBorder="1" applyAlignment="1">
      <alignment horizontal="center" vertical="center"/>
    </xf>
    <xf numFmtId="9" fontId="14" fillId="9" borderId="28" xfId="0" applyNumberFormat="1" applyFont="1" applyFill="1" applyBorder="1" applyAlignment="1">
      <alignment horizontal="center" vertical="center"/>
    </xf>
    <xf numFmtId="0" fontId="1" fillId="9" borderId="29" xfId="0" applyFont="1" applyFill="1" applyBorder="1" applyAlignment="1">
      <alignment horizontal="center" vertical="center"/>
    </xf>
    <xf numFmtId="0" fontId="1" fillId="9" borderId="26" xfId="0" applyFont="1" applyFill="1" applyBorder="1" applyAlignment="1">
      <alignment horizontal="center" vertical="center"/>
    </xf>
    <xf numFmtId="9" fontId="6" fillId="9" borderId="27" xfId="0" applyNumberFormat="1" applyFont="1" applyFill="1" applyBorder="1" applyAlignment="1">
      <alignment horizontal="center" vertical="center"/>
    </xf>
    <xf numFmtId="9" fontId="6" fillId="9" borderId="28" xfId="0" applyNumberFormat="1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/>
    </xf>
    <xf numFmtId="0" fontId="31" fillId="4" borderId="3" xfId="0" applyFont="1" applyFill="1" applyBorder="1" applyAlignment="1">
      <alignment horizontal="center" vertical="center"/>
    </xf>
    <xf numFmtId="0" fontId="31" fillId="4" borderId="4" xfId="0" applyFont="1" applyFill="1" applyBorder="1" applyAlignment="1">
      <alignment horizontal="center" vertical="center"/>
    </xf>
    <xf numFmtId="0" fontId="1" fillId="9" borderId="30" xfId="0" applyFont="1" applyFill="1" applyBorder="1" applyAlignment="1">
      <alignment horizontal="center" vertical="center" wrapText="1"/>
    </xf>
    <xf numFmtId="0" fontId="1" fillId="9" borderId="31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 textRotation="90"/>
    </xf>
    <xf numFmtId="0" fontId="1" fillId="9" borderId="6" xfId="0" applyFont="1" applyFill="1" applyBorder="1" applyAlignment="1">
      <alignment horizontal="center" vertical="center" textRotation="90"/>
    </xf>
    <xf numFmtId="9" fontId="20" fillId="9" borderId="27" xfId="0" applyNumberFormat="1" applyFont="1" applyFill="1" applyBorder="1" applyAlignment="1">
      <alignment horizontal="center" vertical="center"/>
    </xf>
    <xf numFmtId="9" fontId="20" fillId="9" borderId="28" xfId="0" applyNumberFormat="1" applyFont="1" applyFill="1" applyBorder="1" applyAlignment="1">
      <alignment horizontal="center" vertical="center"/>
    </xf>
    <xf numFmtId="9" fontId="5" fillId="9" borderId="27" xfId="0" applyNumberFormat="1" applyFont="1" applyFill="1" applyBorder="1" applyAlignment="1">
      <alignment horizontal="center" vertical="center"/>
    </xf>
    <xf numFmtId="9" fontId="5" fillId="9" borderId="28" xfId="0" applyNumberFormat="1" applyFont="1" applyFill="1" applyBorder="1" applyAlignment="1">
      <alignment horizontal="center" vertical="center"/>
    </xf>
    <xf numFmtId="0" fontId="19" fillId="9" borderId="2" xfId="0" applyFont="1" applyFill="1" applyBorder="1" applyAlignment="1">
      <alignment horizontal="center"/>
    </xf>
    <xf numFmtId="0" fontId="19" fillId="9" borderId="3" xfId="0" applyFont="1" applyFill="1" applyBorder="1" applyAlignment="1">
      <alignment horizontal="center"/>
    </xf>
    <xf numFmtId="0" fontId="19" fillId="9" borderId="4" xfId="0" applyFont="1" applyFill="1" applyBorder="1" applyAlignment="1">
      <alignment horizontal="center"/>
    </xf>
    <xf numFmtId="0" fontId="16" fillId="13" borderId="27" xfId="0" applyFont="1" applyFill="1" applyBorder="1" applyAlignment="1">
      <alignment horizontal="center"/>
    </xf>
    <xf numFmtId="0" fontId="16" fillId="13" borderId="32" xfId="0" applyFont="1" applyFill="1" applyBorder="1" applyAlignment="1">
      <alignment horizontal="center"/>
    </xf>
    <xf numFmtId="0" fontId="16" fillId="13" borderId="28" xfId="0" applyFont="1" applyFill="1" applyBorder="1" applyAlignment="1">
      <alignment horizontal="center"/>
    </xf>
    <xf numFmtId="0" fontId="16" fillId="14" borderId="33" xfId="0" applyFont="1" applyFill="1" applyBorder="1" applyAlignment="1">
      <alignment horizontal="center"/>
    </xf>
    <xf numFmtId="0" fontId="16" fillId="14" borderId="34" xfId="0" applyFont="1" applyFill="1" applyBorder="1" applyAlignment="1">
      <alignment horizontal="center"/>
    </xf>
    <xf numFmtId="0" fontId="16" fillId="14" borderId="35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4" fontId="16" fillId="11" borderId="3" xfId="0" applyNumberFormat="1" applyFont="1" applyFill="1" applyBorder="1" applyAlignment="1">
      <alignment/>
    </xf>
    <xf numFmtId="0" fontId="16" fillId="11" borderId="4" xfId="0" applyFont="1" applyFill="1" applyBorder="1" applyAlignment="1">
      <alignment/>
    </xf>
    <xf numFmtId="0" fontId="17" fillId="0" borderId="0" xfId="0" applyFont="1" applyAlignment="1">
      <alignment horizontal="center"/>
    </xf>
    <xf numFmtId="174" fontId="11" fillId="9" borderId="1" xfId="0" applyNumberFormat="1" applyFont="1" applyFill="1" applyBorder="1" applyAlignment="1">
      <alignment horizontal="center" vertical="center"/>
    </xf>
    <xf numFmtId="175" fontId="11" fillId="9" borderId="1" xfId="0" applyNumberFormat="1" applyFont="1" applyFill="1" applyBorder="1" applyAlignment="1">
      <alignment horizontal="center" vertical="center"/>
    </xf>
    <xf numFmtId="45" fontId="11" fillId="0" borderId="1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175" fontId="11" fillId="0" borderId="0" xfId="0" applyNumberFormat="1" applyFont="1" applyFill="1" applyBorder="1" applyAlignment="1">
      <alignment horizontal="center" vertical="center"/>
    </xf>
    <xf numFmtId="176" fontId="11" fillId="0" borderId="12" xfId="0" applyNumberFormat="1" applyFont="1" applyBorder="1" applyAlignment="1">
      <alignment horizontal="center" vertical="center"/>
    </xf>
    <xf numFmtId="45" fontId="11" fillId="0" borderId="6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176" fontId="11" fillId="0" borderId="7" xfId="0" applyNumberFormat="1" applyFont="1" applyBorder="1" applyAlignment="1">
      <alignment horizontal="center" vertical="center"/>
    </xf>
    <xf numFmtId="45" fontId="11" fillId="0" borderId="9" xfId="0" applyNumberFormat="1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174" fontId="32" fillId="9" borderId="32" xfId="0" applyNumberFormat="1" applyFont="1" applyFill="1" applyBorder="1" applyAlignment="1">
      <alignment horizontal="center" vertical="center"/>
    </xf>
    <xf numFmtId="175" fontId="32" fillId="9" borderId="32" xfId="0" applyNumberFormat="1" applyFont="1" applyFill="1" applyBorder="1" applyAlignment="1">
      <alignment horizontal="center" vertical="center"/>
    </xf>
    <xf numFmtId="175" fontId="32" fillId="9" borderId="28" xfId="0" applyNumberFormat="1" applyFont="1" applyFill="1" applyBorder="1" applyAlignment="1">
      <alignment horizontal="center" vertical="center"/>
    </xf>
    <xf numFmtId="45" fontId="11" fillId="0" borderId="8" xfId="0" applyNumberFormat="1" applyFont="1" applyBorder="1" applyAlignment="1">
      <alignment horizontal="center" vertical="center"/>
    </xf>
    <xf numFmtId="45" fontId="11" fillId="0" borderId="11" xfId="0" applyNumberFormat="1" applyFont="1" applyBorder="1" applyAlignment="1">
      <alignment horizontal="center" vertical="center"/>
    </xf>
    <xf numFmtId="45" fontId="11" fillId="0" borderId="13" xfId="0" applyNumberFormat="1" applyFont="1" applyBorder="1" applyAlignment="1">
      <alignment horizontal="center" vertical="center"/>
    </xf>
    <xf numFmtId="2" fontId="32" fillId="9" borderId="36" xfId="0" applyNumberFormat="1" applyFont="1" applyFill="1" applyBorder="1" applyAlignment="1">
      <alignment horizontal="center" vertical="center"/>
    </xf>
    <xf numFmtId="2" fontId="32" fillId="9" borderId="23" xfId="0" applyNumberFormat="1" applyFont="1" applyFill="1" applyBorder="1" applyAlignment="1">
      <alignment horizontal="center" vertical="center"/>
    </xf>
    <xf numFmtId="2" fontId="32" fillId="9" borderId="24" xfId="0" applyNumberFormat="1" applyFont="1" applyFill="1" applyBorder="1" applyAlignment="1">
      <alignment horizontal="center" vertical="center"/>
    </xf>
    <xf numFmtId="174" fontId="32" fillId="9" borderId="27" xfId="0" applyNumberFormat="1" applyFont="1" applyFill="1" applyBorder="1" applyAlignment="1">
      <alignment horizontal="center" vertical="center"/>
    </xf>
    <xf numFmtId="0" fontId="32" fillId="9" borderId="22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workbookViewId="0" topLeftCell="A1">
      <selection activeCell="B6" sqref="B6"/>
    </sheetView>
  </sheetViews>
  <sheetFormatPr defaultColWidth="11.421875" defaultRowHeight="12.75"/>
  <cols>
    <col min="1" max="1" width="15.7109375" style="0" customWidth="1"/>
    <col min="2" max="2" width="10.7109375" style="0" customWidth="1"/>
    <col min="3" max="3" width="3.7109375" style="0" customWidth="1"/>
    <col min="4" max="4" width="10.7109375" style="0" customWidth="1"/>
    <col min="6" max="6" width="10.7109375" style="0" customWidth="1"/>
    <col min="7" max="10" width="7.7109375" style="0" customWidth="1"/>
    <col min="11" max="14" width="8.7109375" style="0" customWidth="1"/>
    <col min="15" max="15" width="5.7109375" style="0" customWidth="1"/>
    <col min="16" max="29" width="8.7109375" style="0" customWidth="1"/>
  </cols>
  <sheetData>
    <row r="1" spans="1:29" ht="19.5" customHeight="1" thickBot="1">
      <c r="A1" s="150" t="s">
        <v>173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2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30" customHeight="1" thickBot="1">
      <c r="A2" s="148" t="s">
        <v>21</v>
      </c>
      <c r="B2" s="146" t="s">
        <v>150</v>
      </c>
      <c r="C2" s="157" t="s">
        <v>151</v>
      </c>
      <c r="D2" s="155" t="s">
        <v>175</v>
      </c>
      <c r="E2" s="153" t="s">
        <v>172</v>
      </c>
      <c r="F2" s="153" t="s">
        <v>176</v>
      </c>
      <c r="G2" s="138" t="s">
        <v>152</v>
      </c>
      <c r="H2" s="139"/>
      <c r="I2" s="142" t="s">
        <v>18</v>
      </c>
      <c r="J2" s="143"/>
      <c r="K2" s="142" t="s">
        <v>19</v>
      </c>
      <c r="L2" s="143"/>
      <c r="M2" s="142" t="s">
        <v>20</v>
      </c>
      <c r="N2" s="143"/>
      <c r="O2" s="59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7"/>
    </row>
    <row r="3" spans="1:29" ht="15" customHeight="1" thickBot="1">
      <c r="A3" s="149"/>
      <c r="B3" s="147"/>
      <c r="C3" s="158"/>
      <c r="D3" s="156"/>
      <c r="E3" s="154"/>
      <c r="F3" s="154"/>
      <c r="G3" s="161">
        <v>1.05</v>
      </c>
      <c r="H3" s="162"/>
      <c r="I3" s="159">
        <v>0.87</v>
      </c>
      <c r="J3" s="160"/>
      <c r="K3" s="144">
        <v>0.82</v>
      </c>
      <c r="L3" s="145"/>
      <c r="M3" s="140">
        <v>0.76</v>
      </c>
      <c r="N3" s="141"/>
      <c r="O3" s="61"/>
      <c r="P3" s="122"/>
      <c r="Q3" s="4"/>
      <c r="R3" s="123"/>
      <c r="S3" s="4"/>
      <c r="T3" s="124"/>
      <c r="U3" s="124"/>
      <c r="V3" s="5"/>
      <c r="W3" s="66"/>
      <c r="X3" s="66"/>
      <c r="Y3" s="66"/>
      <c r="Z3" s="5"/>
      <c r="AA3" s="67"/>
      <c r="AB3" s="67"/>
      <c r="AC3" s="67"/>
    </row>
    <row r="4" spans="1:29" ht="15" customHeight="1">
      <c r="A4" s="107" t="s">
        <v>69</v>
      </c>
      <c r="B4" s="108" t="s">
        <v>27</v>
      </c>
      <c r="C4" s="114"/>
      <c r="D4" s="109"/>
      <c r="E4" s="118" t="s">
        <v>92</v>
      </c>
      <c r="F4" s="101">
        <v>41205</v>
      </c>
      <c r="G4" s="92">
        <v>17.1</v>
      </c>
      <c r="H4" s="93" t="s">
        <v>142</v>
      </c>
      <c r="I4" s="94">
        <v>14.2</v>
      </c>
      <c r="J4" s="95" t="s">
        <v>122</v>
      </c>
      <c r="K4" s="96">
        <v>13.4</v>
      </c>
      <c r="L4" s="97" t="s">
        <v>153</v>
      </c>
      <c r="M4" s="98">
        <v>12.4</v>
      </c>
      <c r="N4" s="99" t="s">
        <v>107</v>
      </c>
      <c r="O4" s="60"/>
      <c r="P4" s="63"/>
      <c r="Q4" s="4"/>
      <c r="R4" s="125"/>
      <c r="S4" s="4"/>
      <c r="T4" s="126"/>
      <c r="U4" s="127"/>
      <c r="V4" s="128"/>
      <c r="W4" s="129"/>
      <c r="X4" s="130"/>
      <c r="Y4" s="131"/>
      <c r="Z4" s="132"/>
      <c r="AA4" s="133"/>
      <c r="AB4" s="134"/>
      <c r="AC4" s="134"/>
    </row>
    <row r="5" spans="1:29" ht="15" customHeight="1">
      <c r="A5" s="87" t="s">
        <v>28</v>
      </c>
      <c r="B5" s="56" t="s">
        <v>29</v>
      </c>
      <c r="C5" s="115" t="s">
        <v>106</v>
      </c>
      <c r="D5" s="100">
        <v>34582</v>
      </c>
      <c r="E5" s="119" t="s">
        <v>93</v>
      </c>
      <c r="F5" s="102">
        <v>41205</v>
      </c>
      <c r="G5" s="84">
        <v>18.2</v>
      </c>
      <c r="H5" s="83" t="s">
        <v>143</v>
      </c>
      <c r="I5" s="79">
        <v>15.1</v>
      </c>
      <c r="J5" s="80" t="s">
        <v>123</v>
      </c>
      <c r="K5" s="74">
        <v>14.2</v>
      </c>
      <c r="L5" s="75" t="s">
        <v>154</v>
      </c>
      <c r="M5" s="68">
        <v>13.1</v>
      </c>
      <c r="N5" s="69" t="s">
        <v>108</v>
      </c>
      <c r="O5" s="60"/>
      <c r="P5" s="63"/>
      <c r="Q5" s="4"/>
      <c r="R5" s="125"/>
      <c r="S5" s="4"/>
      <c r="T5" s="126"/>
      <c r="U5" s="127"/>
      <c r="V5" s="128"/>
      <c r="W5" s="129"/>
      <c r="X5" s="130"/>
      <c r="Y5" s="131"/>
      <c r="Z5" s="132"/>
      <c r="AA5" s="133"/>
      <c r="AB5" s="134"/>
      <c r="AC5" s="134"/>
    </row>
    <row r="6" spans="1:29" ht="15" customHeight="1">
      <c r="A6" s="87" t="s">
        <v>94</v>
      </c>
      <c r="B6" s="56" t="s">
        <v>70</v>
      </c>
      <c r="C6" s="115" t="s">
        <v>174</v>
      </c>
      <c r="D6" s="100">
        <v>37402</v>
      </c>
      <c r="E6" s="119" t="s">
        <v>95</v>
      </c>
      <c r="F6" s="102">
        <v>41205</v>
      </c>
      <c r="G6" s="84">
        <v>18</v>
      </c>
      <c r="H6" s="83" t="s">
        <v>144</v>
      </c>
      <c r="I6" s="79">
        <v>14.9</v>
      </c>
      <c r="J6" s="80" t="s">
        <v>124</v>
      </c>
      <c r="K6" s="74">
        <v>14</v>
      </c>
      <c r="L6" s="75" t="s">
        <v>155</v>
      </c>
      <c r="M6" s="68">
        <v>13</v>
      </c>
      <c r="N6" s="69" t="s">
        <v>109</v>
      </c>
      <c r="O6" s="60"/>
      <c r="P6" s="63"/>
      <c r="Q6" s="4"/>
      <c r="R6" s="125"/>
      <c r="S6" s="4"/>
      <c r="T6" s="126"/>
      <c r="U6" s="127"/>
      <c r="V6" s="128"/>
      <c r="W6" s="129"/>
      <c r="X6" s="130"/>
      <c r="Y6" s="131"/>
      <c r="Z6" s="132"/>
      <c r="AA6" s="133"/>
      <c r="AB6" s="134"/>
      <c r="AC6" s="134"/>
    </row>
    <row r="7" spans="1:29" ht="15" customHeight="1">
      <c r="A7" s="87" t="s">
        <v>94</v>
      </c>
      <c r="B7" s="56" t="s">
        <v>71</v>
      </c>
      <c r="C7" s="115"/>
      <c r="D7" s="110"/>
      <c r="E7" s="119" t="s">
        <v>96</v>
      </c>
      <c r="F7" s="102">
        <v>41205</v>
      </c>
      <c r="G7" s="84">
        <v>19.2</v>
      </c>
      <c r="H7" s="83" t="s">
        <v>145</v>
      </c>
      <c r="I7" s="79">
        <v>15.9</v>
      </c>
      <c r="J7" s="80" t="s">
        <v>125</v>
      </c>
      <c r="K7" s="74">
        <v>15</v>
      </c>
      <c r="L7" s="75" t="s">
        <v>156</v>
      </c>
      <c r="M7" s="68">
        <v>13.9</v>
      </c>
      <c r="N7" s="69" t="s">
        <v>110</v>
      </c>
      <c r="O7" s="60"/>
      <c r="P7" s="63"/>
      <c r="Q7" s="4"/>
      <c r="R7" s="125"/>
      <c r="S7" s="4"/>
      <c r="T7" s="126"/>
      <c r="U7" s="127"/>
      <c r="V7" s="128"/>
      <c r="W7" s="129"/>
      <c r="X7" s="130"/>
      <c r="Y7" s="131"/>
      <c r="Z7" s="132"/>
      <c r="AA7" s="133"/>
      <c r="AB7" s="134"/>
      <c r="AC7" s="134"/>
    </row>
    <row r="8" spans="1:29" ht="15" customHeight="1">
      <c r="A8" s="87" t="s">
        <v>72</v>
      </c>
      <c r="B8" s="56" t="s">
        <v>73</v>
      </c>
      <c r="C8" s="115" t="s">
        <v>105</v>
      </c>
      <c r="D8" s="100">
        <v>23538</v>
      </c>
      <c r="E8" s="119" t="s">
        <v>30</v>
      </c>
      <c r="F8" s="102">
        <v>41205</v>
      </c>
      <c r="G8" s="84">
        <v>16.8</v>
      </c>
      <c r="H8" s="83" t="s">
        <v>138</v>
      </c>
      <c r="I8" s="79">
        <v>13.9</v>
      </c>
      <c r="J8" s="80" t="s">
        <v>126</v>
      </c>
      <c r="K8" s="74">
        <v>13.1</v>
      </c>
      <c r="L8" s="75" t="s">
        <v>157</v>
      </c>
      <c r="M8" s="68">
        <v>12.2</v>
      </c>
      <c r="N8" s="69" t="s">
        <v>111</v>
      </c>
      <c r="O8" s="60"/>
      <c r="P8" s="63"/>
      <c r="Q8" s="4"/>
      <c r="R8" s="125"/>
      <c r="S8" s="4"/>
      <c r="T8" s="126"/>
      <c r="U8" s="127"/>
      <c r="V8" s="128"/>
      <c r="W8" s="129"/>
      <c r="X8" s="130"/>
      <c r="Y8" s="131"/>
      <c r="Z8" s="132"/>
      <c r="AA8" s="133"/>
      <c r="AB8" s="134"/>
      <c r="AC8" s="134"/>
    </row>
    <row r="9" spans="1:29" ht="15" customHeight="1">
      <c r="A9" s="88" t="s">
        <v>74</v>
      </c>
      <c r="B9" s="58" t="s">
        <v>75</v>
      </c>
      <c r="C9" s="115"/>
      <c r="D9" s="110"/>
      <c r="E9" s="119" t="s">
        <v>97</v>
      </c>
      <c r="F9" s="103">
        <v>41205</v>
      </c>
      <c r="G9" s="84">
        <v>14</v>
      </c>
      <c r="H9" s="83" t="s">
        <v>146</v>
      </c>
      <c r="I9" s="79">
        <v>11.6</v>
      </c>
      <c r="J9" s="80" t="s">
        <v>127</v>
      </c>
      <c r="K9" s="74">
        <v>10.9</v>
      </c>
      <c r="L9" s="75" t="s">
        <v>158</v>
      </c>
      <c r="M9" s="68">
        <v>10.1</v>
      </c>
      <c r="N9" s="69" t="s">
        <v>112</v>
      </c>
      <c r="O9" s="60"/>
      <c r="P9" s="63"/>
      <c r="Q9" s="4"/>
      <c r="R9" s="135"/>
      <c r="S9" s="4"/>
      <c r="T9" s="126"/>
      <c r="U9" s="127"/>
      <c r="V9" s="128"/>
      <c r="W9" s="129"/>
      <c r="X9" s="130"/>
      <c r="Y9" s="131"/>
      <c r="Z9" s="132"/>
      <c r="AA9" s="133"/>
      <c r="AB9" s="134"/>
      <c r="AC9" s="134"/>
    </row>
    <row r="10" spans="1:29" ht="15" customHeight="1">
      <c r="A10" s="87" t="s">
        <v>76</v>
      </c>
      <c r="B10" s="56" t="s">
        <v>77</v>
      </c>
      <c r="C10" s="115" t="s">
        <v>105</v>
      </c>
      <c r="D10" s="111" t="s">
        <v>168</v>
      </c>
      <c r="E10" s="119" t="s">
        <v>98</v>
      </c>
      <c r="F10" s="102">
        <v>41205</v>
      </c>
      <c r="G10" s="84">
        <v>17.4</v>
      </c>
      <c r="H10" s="83" t="s">
        <v>147</v>
      </c>
      <c r="I10" s="79">
        <v>14.4</v>
      </c>
      <c r="J10" s="80" t="s">
        <v>128</v>
      </c>
      <c r="K10" s="74">
        <v>13.6</v>
      </c>
      <c r="L10" s="75" t="s">
        <v>159</v>
      </c>
      <c r="M10" s="68">
        <v>12.6</v>
      </c>
      <c r="N10" s="69" t="s">
        <v>113</v>
      </c>
      <c r="O10" s="60"/>
      <c r="P10" s="63"/>
      <c r="Q10" s="4"/>
      <c r="R10" s="125"/>
      <c r="S10" s="4"/>
      <c r="T10" s="126"/>
      <c r="U10" s="127"/>
      <c r="V10" s="128"/>
      <c r="W10" s="129"/>
      <c r="X10" s="130"/>
      <c r="Y10" s="131"/>
      <c r="Z10" s="132"/>
      <c r="AA10" s="133"/>
      <c r="AB10" s="134"/>
      <c r="AC10" s="134"/>
    </row>
    <row r="11" spans="1:29" ht="15" customHeight="1">
      <c r="A11" s="87" t="s">
        <v>31</v>
      </c>
      <c r="B11" s="56" t="s">
        <v>32</v>
      </c>
      <c r="C11" s="115" t="s">
        <v>105</v>
      </c>
      <c r="D11" s="100">
        <v>24253</v>
      </c>
      <c r="E11" s="119" t="s">
        <v>93</v>
      </c>
      <c r="F11" s="102">
        <v>41205</v>
      </c>
      <c r="G11" s="84">
        <v>18.2</v>
      </c>
      <c r="H11" s="83" t="s">
        <v>143</v>
      </c>
      <c r="I11" s="79">
        <v>15.1</v>
      </c>
      <c r="J11" s="80" t="s">
        <v>123</v>
      </c>
      <c r="K11" s="74">
        <v>14.2</v>
      </c>
      <c r="L11" s="75" t="s">
        <v>154</v>
      </c>
      <c r="M11" s="68">
        <v>13.1</v>
      </c>
      <c r="N11" s="69" t="s">
        <v>114</v>
      </c>
      <c r="O11" s="60"/>
      <c r="P11" s="63"/>
      <c r="Q11" s="4"/>
      <c r="R11" s="125"/>
      <c r="S11" s="4"/>
      <c r="T11" s="126"/>
      <c r="U11" s="127"/>
      <c r="V11" s="128"/>
      <c r="W11" s="129"/>
      <c r="X11" s="130"/>
      <c r="Y11" s="131"/>
      <c r="Z11" s="132"/>
      <c r="AA11" s="133"/>
      <c r="AB11" s="134"/>
      <c r="AC11" s="134"/>
    </row>
    <row r="12" spans="1:29" ht="15" customHeight="1">
      <c r="A12" s="87" t="s">
        <v>78</v>
      </c>
      <c r="B12" s="56" t="s">
        <v>79</v>
      </c>
      <c r="C12" s="115" t="s">
        <v>105</v>
      </c>
      <c r="D12" s="100">
        <v>23578</v>
      </c>
      <c r="E12" s="119" t="s">
        <v>99</v>
      </c>
      <c r="F12" s="102">
        <v>41205</v>
      </c>
      <c r="G12" s="84">
        <v>17.3</v>
      </c>
      <c r="H12" s="83" t="s">
        <v>148</v>
      </c>
      <c r="I12" s="79">
        <v>14.4</v>
      </c>
      <c r="J12" s="80" t="s">
        <v>129</v>
      </c>
      <c r="K12" s="74">
        <v>13.5</v>
      </c>
      <c r="L12" s="75" t="s">
        <v>160</v>
      </c>
      <c r="M12" s="68">
        <v>12.5</v>
      </c>
      <c r="N12" s="69" t="s">
        <v>115</v>
      </c>
      <c r="O12" s="60"/>
      <c r="P12" s="63"/>
      <c r="Q12" s="4"/>
      <c r="R12" s="125"/>
      <c r="S12" s="4"/>
      <c r="T12" s="126"/>
      <c r="U12" s="127"/>
      <c r="V12" s="128"/>
      <c r="W12" s="129"/>
      <c r="X12" s="130"/>
      <c r="Y12" s="131"/>
      <c r="Z12" s="132"/>
      <c r="AA12" s="133"/>
      <c r="AB12" s="134"/>
      <c r="AC12" s="134"/>
    </row>
    <row r="13" spans="1:29" ht="15" customHeight="1">
      <c r="A13" s="87" t="s">
        <v>80</v>
      </c>
      <c r="B13" s="56" t="s">
        <v>81</v>
      </c>
      <c r="C13" s="115"/>
      <c r="D13" s="110"/>
      <c r="E13" s="119" t="s">
        <v>24</v>
      </c>
      <c r="F13" s="102">
        <v>41205</v>
      </c>
      <c r="G13" s="84">
        <v>16.2</v>
      </c>
      <c r="H13" s="83" t="s">
        <v>149</v>
      </c>
      <c r="I13" s="79">
        <v>13.5</v>
      </c>
      <c r="J13" s="80" t="s">
        <v>130</v>
      </c>
      <c r="K13" s="74">
        <v>12.7</v>
      </c>
      <c r="L13" s="75" t="s">
        <v>161</v>
      </c>
      <c r="M13" s="68">
        <v>11.8</v>
      </c>
      <c r="N13" s="69" t="s">
        <v>116</v>
      </c>
      <c r="O13" s="60"/>
      <c r="P13" s="63"/>
      <c r="Q13" s="4"/>
      <c r="R13" s="125"/>
      <c r="S13" s="4"/>
      <c r="T13" s="126"/>
      <c r="U13" s="127"/>
      <c r="V13" s="128"/>
      <c r="W13" s="129"/>
      <c r="X13" s="130"/>
      <c r="Y13" s="131"/>
      <c r="Z13" s="132"/>
      <c r="AA13" s="133"/>
      <c r="AB13" s="134"/>
      <c r="AC13" s="134"/>
    </row>
    <row r="14" spans="1:29" ht="15" customHeight="1">
      <c r="A14" s="87" t="s">
        <v>82</v>
      </c>
      <c r="B14" s="56" t="s">
        <v>83</v>
      </c>
      <c r="C14" s="115"/>
      <c r="D14" s="110"/>
      <c r="E14" s="119" t="s">
        <v>100</v>
      </c>
      <c r="F14" s="102">
        <v>41205</v>
      </c>
      <c r="G14" s="84">
        <v>18.5</v>
      </c>
      <c r="H14" s="83" t="s">
        <v>141</v>
      </c>
      <c r="I14" s="79">
        <v>15.3</v>
      </c>
      <c r="J14" s="80" t="s">
        <v>131</v>
      </c>
      <c r="K14" s="74">
        <v>14.4</v>
      </c>
      <c r="L14" s="75" t="s">
        <v>162</v>
      </c>
      <c r="M14" s="68">
        <v>13.4</v>
      </c>
      <c r="N14" s="69" t="s">
        <v>117</v>
      </c>
      <c r="O14" s="60"/>
      <c r="P14" s="63"/>
      <c r="Q14" s="4"/>
      <c r="R14" s="125"/>
      <c r="S14" s="4"/>
      <c r="T14" s="126"/>
      <c r="U14" s="127"/>
      <c r="V14" s="128"/>
      <c r="W14" s="129"/>
      <c r="X14" s="130"/>
      <c r="Y14" s="131"/>
      <c r="Z14" s="132"/>
      <c r="AA14" s="133"/>
      <c r="AB14" s="134"/>
      <c r="AC14" s="134"/>
    </row>
    <row r="15" spans="1:29" ht="15" customHeight="1">
      <c r="A15" s="87" t="s">
        <v>84</v>
      </c>
      <c r="B15" s="56" t="s">
        <v>85</v>
      </c>
      <c r="C15" s="115" t="s">
        <v>170</v>
      </c>
      <c r="D15" s="100">
        <v>26833</v>
      </c>
      <c r="E15" s="119" t="s">
        <v>101</v>
      </c>
      <c r="F15" s="102">
        <v>41205</v>
      </c>
      <c r="G15" s="84">
        <v>18.9</v>
      </c>
      <c r="H15" s="83" t="s">
        <v>137</v>
      </c>
      <c r="I15" s="79">
        <v>15.7</v>
      </c>
      <c r="J15" s="80" t="s">
        <v>132</v>
      </c>
      <c r="K15" s="74">
        <v>14.8</v>
      </c>
      <c r="L15" s="75" t="s">
        <v>163</v>
      </c>
      <c r="M15" s="68">
        <v>13.7</v>
      </c>
      <c r="N15" s="69" t="s">
        <v>118</v>
      </c>
      <c r="O15" s="60"/>
      <c r="P15" s="63"/>
      <c r="Q15" s="4"/>
      <c r="R15" s="125"/>
      <c r="S15" s="4"/>
      <c r="T15" s="126"/>
      <c r="U15" s="127"/>
      <c r="V15" s="128"/>
      <c r="W15" s="129"/>
      <c r="X15" s="130"/>
      <c r="Y15" s="131"/>
      <c r="Z15" s="132"/>
      <c r="AA15" s="133"/>
      <c r="AB15" s="134"/>
      <c r="AC15" s="134"/>
    </row>
    <row r="16" spans="1:29" ht="15" customHeight="1">
      <c r="A16" s="87" t="s">
        <v>86</v>
      </c>
      <c r="B16" s="56" t="s">
        <v>87</v>
      </c>
      <c r="C16" s="115" t="s">
        <v>170</v>
      </c>
      <c r="D16" s="100">
        <v>26011</v>
      </c>
      <c r="E16" s="119" t="s">
        <v>102</v>
      </c>
      <c r="F16" s="102">
        <v>41205</v>
      </c>
      <c r="G16" s="84">
        <v>17.6</v>
      </c>
      <c r="H16" s="83" t="s">
        <v>136</v>
      </c>
      <c r="I16" s="79">
        <v>14.6</v>
      </c>
      <c r="J16" s="80" t="s">
        <v>133</v>
      </c>
      <c r="K16" s="74">
        <v>13.8</v>
      </c>
      <c r="L16" s="75" t="s">
        <v>164</v>
      </c>
      <c r="M16" s="68">
        <v>12.8</v>
      </c>
      <c r="N16" s="69" t="s">
        <v>119</v>
      </c>
      <c r="O16" s="60"/>
      <c r="P16" s="63"/>
      <c r="Q16" s="4"/>
      <c r="R16" s="125"/>
      <c r="S16" s="4"/>
      <c r="T16" s="126"/>
      <c r="U16" s="127"/>
      <c r="V16" s="128"/>
      <c r="W16" s="129"/>
      <c r="X16" s="130"/>
      <c r="Y16" s="131"/>
      <c r="Z16" s="132"/>
      <c r="AA16" s="133"/>
      <c r="AB16" s="134"/>
      <c r="AC16" s="134"/>
    </row>
    <row r="17" spans="1:29" ht="15" customHeight="1">
      <c r="A17" s="87" t="s">
        <v>88</v>
      </c>
      <c r="B17" s="56" t="s">
        <v>71</v>
      </c>
      <c r="C17" s="115"/>
      <c r="D17" s="110"/>
      <c r="E17" s="119" t="s">
        <v>101</v>
      </c>
      <c r="F17" s="102">
        <v>41205</v>
      </c>
      <c r="G17" s="84">
        <v>18.9</v>
      </c>
      <c r="H17" s="83" t="s">
        <v>137</v>
      </c>
      <c r="I17" s="79">
        <v>15.7</v>
      </c>
      <c r="J17" s="80" t="s">
        <v>132</v>
      </c>
      <c r="K17" s="74">
        <v>14.8</v>
      </c>
      <c r="L17" s="75" t="s">
        <v>163</v>
      </c>
      <c r="M17" s="68">
        <v>13.7</v>
      </c>
      <c r="N17" s="69" t="s">
        <v>118</v>
      </c>
      <c r="O17" s="60"/>
      <c r="P17" s="63"/>
      <c r="Q17" s="4"/>
      <c r="R17" s="125"/>
      <c r="S17" s="4"/>
      <c r="T17" s="126"/>
      <c r="U17" s="127"/>
      <c r="V17" s="128"/>
      <c r="W17" s="129"/>
      <c r="X17" s="130"/>
      <c r="Y17" s="131"/>
      <c r="Z17" s="132"/>
      <c r="AA17" s="133"/>
      <c r="AB17" s="134"/>
      <c r="AC17" s="134"/>
    </row>
    <row r="18" spans="1:29" ht="15" customHeight="1">
      <c r="A18" s="87" t="s">
        <v>25</v>
      </c>
      <c r="B18" s="56" t="s">
        <v>26</v>
      </c>
      <c r="C18" s="115" t="s">
        <v>105</v>
      </c>
      <c r="D18" s="100">
        <v>23892</v>
      </c>
      <c r="E18" s="119" t="s">
        <v>30</v>
      </c>
      <c r="F18" s="102">
        <v>41205</v>
      </c>
      <c r="G18" s="84">
        <v>16.8</v>
      </c>
      <c r="H18" s="83" t="s">
        <v>138</v>
      </c>
      <c r="I18" s="79">
        <v>13.9</v>
      </c>
      <c r="J18" s="80" t="s">
        <v>126</v>
      </c>
      <c r="K18" s="74">
        <v>13.1</v>
      </c>
      <c r="L18" s="75" t="s">
        <v>165</v>
      </c>
      <c r="M18" s="68">
        <v>12.2</v>
      </c>
      <c r="N18" s="69" t="s">
        <v>111</v>
      </c>
      <c r="O18" s="60"/>
      <c r="P18" s="63"/>
      <c r="Q18" s="4"/>
      <c r="R18" s="125"/>
      <c r="S18" s="4"/>
      <c r="T18" s="126"/>
      <c r="U18" s="127"/>
      <c r="V18" s="128"/>
      <c r="W18" s="129"/>
      <c r="X18" s="130"/>
      <c r="Y18" s="131"/>
      <c r="Z18" s="132"/>
      <c r="AA18" s="133"/>
      <c r="AB18" s="134"/>
      <c r="AC18" s="134"/>
    </row>
    <row r="19" spans="1:29" ht="15" customHeight="1">
      <c r="A19" s="87" t="s">
        <v>89</v>
      </c>
      <c r="B19" s="56" t="s">
        <v>23</v>
      </c>
      <c r="C19" s="115" t="s">
        <v>171</v>
      </c>
      <c r="D19" s="111" t="s">
        <v>169</v>
      </c>
      <c r="E19" s="119" t="s">
        <v>103</v>
      </c>
      <c r="F19" s="102">
        <v>41205</v>
      </c>
      <c r="G19" s="84">
        <v>20.4</v>
      </c>
      <c r="H19" s="83" t="s">
        <v>139</v>
      </c>
      <c r="I19" s="79">
        <v>16.9</v>
      </c>
      <c r="J19" s="80" t="s">
        <v>134</v>
      </c>
      <c r="K19" s="74">
        <v>15.9</v>
      </c>
      <c r="L19" s="75" t="s">
        <v>166</v>
      </c>
      <c r="M19" s="68">
        <v>14.7</v>
      </c>
      <c r="N19" s="69" t="s">
        <v>120</v>
      </c>
      <c r="O19" s="60"/>
      <c r="P19" s="63"/>
      <c r="Q19" s="4"/>
      <c r="R19" s="125"/>
      <c r="S19" s="4"/>
      <c r="T19" s="126"/>
      <c r="U19" s="127"/>
      <c r="V19" s="128"/>
      <c r="W19" s="129"/>
      <c r="X19" s="130"/>
      <c r="Y19" s="131"/>
      <c r="Z19" s="132"/>
      <c r="AA19" s="133"/>
      <c r="AB19" s="134"/>
      <c r="AC19" s="134"/>
    </row>
    <row r="20" spans="1:29" ht="15" customHeight="1">
      <c r="A20" s="87" t="s">
        <v>90</v>
      </c>
      <c r="B20" s="56" t="s">
        <v>91</v>
      </c>
      <c r="C20" s="115"/>
      <c r="D20" s="110"/>
      <c r="E20" s="119" t="s">
        <v>104</v>
      </c>
      <c r="F20" s="102">
        <v>41205</v>
      </c>
      <c r="G20" s="84">
        <v>16.4</v>
      </c>
      <c r="H20" s="83" t="s">
        <v>140</v>
      </c>
      <c r="I20" s="79">
        <v>13.6</v>
      </c>
      <c r="J20" s="80" t="s">
        <v>135</v>
      </c>
      <c r="K20" s="74">
        <v>12.8</v>
      </c>
      <c r="L20" s="75" t="s">
        <v>167</v>
      </c>
      <c r="M20" s="68">
        <v>11.9</v>
      </c>
      <c r="N20" s="69" t="s">
        <v>121</v>
      </c>
      <c r="O20" s="60"/>
      <c r="P20" s="63"/>
      <c r="Q20" s="4"/>
      <c r="R20" s="125"/>
      <c r="S20" s="4"/>
      <c r="T20" s="126"/>
      <c r="U20" s="127"/>
      <c r="V20" s="128"/>
      <c r="W20" s="129"/>
      <c r="X20" s="130"/>
      <c r="Y20" s="131"/>
      <c r="Z20" s="132"/>
      <c r="AA20" s="133"/>
      <c r="AB20" s="134"/>
      <c r="AC20" s="134"/>
    </row>
    <row r="21" spans="1:29" ht="13.5">
      <c r="A21" s="89"/>
      <c r="B21" s="1"/>
      <c r="C21" s="116"/>
      <c r="D21" s="112"/>
      <c r="E21" s="120"/>
      <c r="F21" s="104"/>
      <c r="G21" s="85"/>
      <c r="H21" s="76"/>
      <c r="I21" s="70"/>
      <c r="J21" s="76"/>
      <c r="K21" s="70"/>
      <c r="L21" s="76"/>
      <c r="M21" s="70"/>
      <c r="N21" s="71"/>
      <c r="O21" s="4"/>
      <c r="P21" s="25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3.5">
      <c r="A22" s="89"/>
      <c r="B22" s="1"/>
      <c r="C22" s="116"/>
      <c r="D22" s="112"/>
      <c r="E22" s="120"/>
      <c r="F22" s="104"/>
      <c r="G22" s="85"/>
      <c r="H22" s="76"/>
      <c r="I22" s="70"/>
      <c r="J22" s="76"/>
      <c r="K22" s="70"/>
      <c r="L22" s="76"/>
      <c r="M22" s="70"/>
      <c r="N22" s="71"/>
      <c r="O22" s="4"/>
      <c r="P22" s="25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13.5">
      <c r="A23" s="87"/>
      <c r="B23" s="56"/>
      <c r="C23" s="115"/>
      <c r="D23" s="110"/>
      <c r="E23" s="119"/>
      <c r="F23" s="105"/>
      <c r="G23" s="84"/>
      <c r="H23" s="83"/>
      <c r="I23" s="81"/>
      <c r="J23" s="82"/>
      <c r="K23" s="74"/>
      <c r="L23" s="77"/>
      <c r="M23" s="68"/>
      <c r="N23" s="71"/>
      <c r="O23" s="4"/>
      <c r="P23" s="25"/>
      <c r="Q23" s="4"/>
      <c r="R23" s="4"/>
      <c r="S23" s="4"/>
      <c r="T23" s="4"/>
      <c r="U23" s="4"/>
      <c r="V23" s="4"/>
      <c r="W23" s="136"/>
      <c r="X23" s="137"/>
      <c r="Y23" s="137"/>
      <c r="Z23" s="137"/>
      <c r="AA23" s="137"/>
      <c r="AB23" s="137"/>
      <c r="AC23" s="137"/>
    </row>
    <row r="24" spans="1:29" ht="14.25" thickBot="1">
      <c r="A24" s="90"/>
      <c r="B24" s="91"/>
      <c r="C24" s="117"/>
      <c r="D24" s="113"/>
      <c r="E24" s="121"/>
      <c r="F24" s="106"/>
      <c r="G24" s="86"/>
      <c r="H24" s="78"/>
      <c r="I24" s="72"/>
      <c r="J24" s="78"/>
      <c r="K24" s="72"/>
      <c r="L24" s="78"/>
      <c r="M24" s="72"/>
      <c r="N24" s="73"/>
      <c r="O24" s="4"/>
      <c r="P24" s="25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12.75">
      <c r="A25" s="4"/>
      <c r="B25" s="4"/>
      <c r="C25" s="62"/>
      <c r="D25" s="62"/>
      <c r="E25" s="5"/>
      <c r="F25" s="5"/>
      <c r="G25" s="5"/>
      <c r="H25" s="5"/>
      <c r="I25" s="5"/>
      <c r="J25" s="5"/>
      <c r="K25" s="5"/>
      <c r="L25" s="5"/>
      <c r="M25" s="5"/>
      <c r="N25" s="4"/>
      <c r="O25" s="4"/>
      <c r="P25" s="25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2.75">
      <c r="A26" s="4"/>
      <c r="B26" s="4"/>
      <c r="C26" s="62"/>
      <c r="D26" s="62"/>
      <c r="E26" s="5"/>
      <c r="F26" s="5"/>
      <c r="G26" s="5"/>
      <c r="H26" s="5"/>
      <c r="I26" s="5"/>
      <c r="J26" s="5"/>
      <c r="K26" s="5"/>
      <c r="L26" s="5"/>
      <c r="M26" s="5"/>
      <c r="N26" s="4"/>
      <c r="O26" s="4"/>
      <c r="P26" s="25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16" ht="12.75">
      <c r="A27" s="4"/>
      <c r="B27" s="4"/>
      <c r="C27" s="62"/>
      <c r="D27" s="62"/>
      <c r="E27" s="5"/>
      <c r="F27" s="5"/>
      <c r="G27" s="5"/>
      <c r="H27" s="5"/>
      <c r="I27" s="5"/>
      <c r="J27" s="5"/>
      <c r="K27" s="5"/>
      <c r="L27" s="5"/>
      <c r="M27" s="5"/>
      <c r="N27" s="4"/>
      <c r="O27" s="4"/>
      <c r="P27" s="25"/>
    </row>
    <row r="28" spans="1:16" ht="12.75">
      <c r="A28" s="4"/>
      <c r="B28" s="4"/>
      <c r="C28" s="62"/>
      <c r="D28" s="62"/>
      <c r="E28" s="5"/>
      <c r="F28" s="5"/>
      <c r="G28" s="5"/>
      <c r="H28" s="5"/>
      <c r="I28" s="5"/>
      <c r="J28" s="5"/>
      <c r="K28" s="4"/>
      <c r="L28" s="4"/>
      <c r="M28" s="4"/>
      <c r="N28" s="4"/>
      <c r="O28" s="4"/>
      <c r="P28" s="25"/>
    </row>
    <row r="29" spans="1:16" ht="12.75">
      <c r="A29" s="4"/>
      <c r="B29" s="4"/>
      <c r="C29" s="4"/>
      <c r="D29" s="4"/>
      <c r="E29" s="5"/>
      <c r="F29" s="5"/>
      <c r="G29" s="5"/>
      <c r="H29" s="5"/>
      <c r="I29" s="5"/>
      <c r="J29" s="5"/>
      <c r="K29" s="5"/>
      <c r="L29" s="5"/>
      <c r="M29" s="5"/>
      <c r="N29" s="4"/>
      <c r="O29" s="4"/>
      <c r="P29" s="25"/>
    </row>
    <row r="30" spans="1:16" ht="12.75">
      <c r="A30" s="4"/>
      <c r="B30" s="4"/>
      <c r="C30" s="4"/>
      <c r="D30" s="4"/>
      <c r="E30" s="5"/>
      <c r="F30" s="5"/>
      <c r="G30" s="5"/>
      <c r="H30" s="5"/>
      <c r="I30" s="5"/>
      <c r="J30" s="5"/>
      <c r="K30" s="5"/>
      <c r="L30" s="5"/>
      <c r="M30" s="5"/>
      <c r="N30" s="4"/>
      <c r="O30" s="4"/>
      <c r="P30" s="25"/>
    </row>
    <row r="31" spans="1:15" ht="12.75">
      <c r="A31" s="4"/>
      <c r="B31" s="4"/>
      <c r="C31" s="4"/>
      <c r="D31" s="4"/>
      <c r="E31" s="5"/>
      <c r="F31" s="5"/>
      <c r="G31" s="5"/>
      <c r="H31" s="5"/>
      <c r="I31" s="5"/>
      <c r="J31" s="5"/>
      <c r="K31" s="5"/>
      <c r="L31" s="5"/>
      <c r="M31" s="5"/>
      <c r="N31" s="4"/>
      <c r="O31" s="4"/>
    </row>
    <row r="32" spans="1:15" ht="12.75">
      <c r="A32" s="4"/>
      <c r="B32" s="4"/>
      <c r="C32" s="4"/>
      <c r="D32" s="4"/>
      <c r="E32" s="5"/>
      <c r="F32" s="5"/>
      <c r="G32" s="5"/>
      <c r="H32" s="5"/>
      <c r="I32" s="5"/>
      <c r="J32" s="5"/>
      <c r="K32" s="5"/>
      <c r="L32" s="5"/>
      <c r="M32" s="5"/>
      <c r="N32" s="4"/>
      <c r="O32" s="4"/>
    </row>
    <row r="33" spans="1:15" ht="12.75">
      <c r="A33" s="4"/>
      <c r="B33" s="4"/>
      <c r="C33" s="4"/>
      <c r="D33" s="4"/>
      <c r="E33" s="5"/>
      <c r="F33" s="5"/>
      <c r="G33" s="5"/>
      <c r="H33" s="5"/>
      <c r="I33" s="5"/>
      <c r="J33" s="5"/>
      <c r="K33" s="4"/>
      <c r="L33" s="4"/>
      <c r="M33" s="4"/>
      <c r="N33" s="4"/>
      <c r="O33" s="4"/>
    </row>
    <row r="34" spans="1:15" ht="12.75">
      <c r="A34" s="64"/>
      <c r="B34" s="65"/>
      <c r="C34" s="65"/>
      <c r="D34" s="65"/>
      <c r="E34" s="5"/>
      <c r="F34" s="5"/>
      <c r="G34" s="5"/>
      <c r="H34" s="5"/>
      <c r="I34" s="5"/>
      <c r="J34" s="5"/>
      <c r="K34" s="5"/>
      <c r="L34" s="5"/>
      <c r="M34" s="5"/>
      <c r="N34" s="4"/>
      <c r="O34" s="4"/>
    </row>
    <row r="35" spans="1:15" ht="12.75">
      <c r="A35" s="64"/>
      <c r="B35" s="65"/>
      <c r="C35" s="65"/>
      <c r="D35" s="65"/>
      <c r="E35" s="5"/>
      <c r="F35" s="5"/>
      <c r="G35" s="5"/>
      <c r="H35" s="5"/>
      <c r="I35" s="5"/>
      <c r="J35" s="5"/>
      <c r="K35" s="5"/>
      <c r="L35" s="5"/>
      <c r="M35" s="5"/>
      <c r="N35" s="4"/>
      <c r="O35" s="4"/>
    </row>
    <row r="36" spans="1:15" ht="12.75">
      <c r="A36" s="4"/>
      <c r="B36" s="4"/>
      <c r="C36" s="4"/>
      <c r="D36" s="4"/>
      <c r="E36" s="5"/>
      <c r="F36" s="5"/>
      <c r="G36" s="5"/>
      <c r="H36" s="5"/>
      <c r="I36" s="5"/>
      <c r="J36" s="5"/>
      <c r="K36" s="5"/>
      <c r="L36" s="5"/>
      <c r="M36" s="5"/>
      <c r="N36" s="4"/>
      <c r="O36" s="4"/>
    </row>
    <row r="37" spans="1:15" ht="12.75">
      <c r="A37" s="4"/>
      <c r="B37" s="4"/>
      <c r="C37" s="4"/>
      <c r="D37" s="4"/>
      <c r="E37" s="5"/>
      <c r="F37" s="5"/>
      <c r="G37" s="5"/>
      <c r="H37" s="5"/>
      <c r="I37" s="5"/>
      <c r="J37" s="5"/>
      <c r="K37" s="5"/>
      <c r="L37" s="5"/>
      <c r="M37" s="5"/>
      <c r="N37" s="4"/>
      <c r="O37" s="4"/>
    </row>
    <row r="38" spans="1:15" ht="12.75">
      <c r="A38" s="4"/>
      <c r="B38" s="4"/>
      <c r="C38" s="4"/>
      <c r="D38" s="4"/>
      <c r="E38" s="5"/>
      <c r="F38" s="5"/>
      <c r="G38" s="5"/>
      <c r="H38" s="5"/>
      <c r="I38" s="5"/>
      <c r="J38" s="5"/>
      <c r="K38" s="4"/>
      <c r="L38" s="4"/>
      <c r="M38" s="4"/>
      <c r="N38" s="4"/>
      <c r="O38" s="4"/>
    </row>
    <row r="39" spans="1:15" ht="12.75">
      <c r="A39" s="4"/>
      <c r="B39" s="4"/>
      <c r="C39" s="4"/>
      <c r="D39" s="4"/>
      <c r="E39" s="5"/>
      <c r="F39" s="5"/>
      <c r="G39" s="5"/>
      <c r="H39" s="5"/>
      <c r="I39" s="5"/>
      <c r="J39" s="5"/>
      <c r="K39" s="4"/>
      <c r="L39" s="4"/>
      <c r="M39" s="4"/>
      <c r="N39" s="4"/>
      <c r="O39" s="4"/>
    </row>
    <row r="40" spans="1:15" ht="12.75">
      <c r="A40" s="4"/>
      <c r="B40" s="4"/>
      <c r="C40" s="4"/>
      <c r="D40" s="4"/>
      <c r="E40" s="5"/>
      <c r="F40" s="5"/>
      <c r="G40" s="5"/>
      <c r="H40" s="5"/>
      <c r="I40" s="5"/>
      <c r="J40" s="5"/>
      <c r="K40" s="5"/>
      <c r="L40" s="5"/>
      <c r="M40" s="5"/>
      <c r="N40" s="4"/>
      <c r="O40" s="4"/>
    </row>
    <row r="41" spans="1:15" ht="12.75">
      <c r="A41" s="4"/>
      <c r="B41" s="4"/>
      <c r="C41" s="4"/>
      <c r="D41" s="4"/>
      <c r="E41" s="5"/>
      <c r="F41" s="5"/>
      <c r="G41" s="5"/>
      <c r="H41" s="5"/>
      <c r="I41" s="5"/>
      <c r="J41" s="5"/>
      <c r="K41" s="5"/>
      <c r="L41" s="5"/>
      <c r="M41" s="5"/>
      <c r="N41" s="4"/>
      <c r="O41" s="4"/>
    </row>
    <row r="42" spans="1:15" ht="12.75">
      <c r="A42" s="4"/>
      <c r="B42" s="4"/>
      <c r="C42" s="4"/>
      <c r="D42" s="4"/>
      <c r="E42" s="5"/>
      <c r="F42" s="5"/>
      <c r="G42" s="5"/>
      <c r="H42" s="5"/>
      <c r="I42" s="5"/>
      <c r="J42" s="5"/>
      <c r="K42" s="5"/>
      <c r="L42" s="5"/>
      <c r="M42" s="5"/>
      <c r="N42" s="4"/>
      <c r="O42" s="4"/>
    </row>
    <row r="43" spans="1:15" ht="12.75">
      <c r="A43" s="4"/>
      <c r="B43" s="4"/>
      <c r="C43" s="4"/>
      <c r="D43" s="4"/>
      <c r="E43" s="5"/>
      <c r="F43" s="5"/>
      <c r="G43" s="5"/>
      <c r="H43" s="5"/>
      <c r="I43" s="5"/>
      <c r="J43" s="5"/>
      <c r="K43" s="5"/>
      <c r="L43" s="5"/>
      <c r="M43" s="5"/>
      <c r="N43" s="4"/>
      <c r="O43" s="4"/>
    </row>
    <row r="44" spans="1:15" ht="12.75">
      <c r="A44" s="4"/>
      <c r="B44" s="4"/>
      <c r="C44" s="4"/>
      <c r="D44" s="4"/>
      <c r="E44" s="5"/>
      <c r="F44" s="5"/>
      <c r="G44" s="5"/>
      <c r="H44" s="5"/>
      <c r="I44" s="5"/>
      <c r="J44" s="5"/>
      <c r="K44" s="5"/>
      <c r="L44" s="5"/>
      <c r="M44" s="5"/>
      <c r="N44" s="4"/>
      <c r="O44" s="4"/>
    </row>
    <row r="45" spans="1:15" ht="12.75">
      <c r="A45" s="4"/>
      <c r="B45" s="4"/>
      <c r="C45" s="4"/>
      <c r="D45" s="4"/>
      <c r="E45" s="5"/>
      <c r="F45" s="5"/>
      <c r="G45" s="5"/>
      <c r="H45" s="5"/>
      <c r="I45" s="5"/>
      <c r="J45" s="5"/>
      <c r="K45" s="5"/>
      <c r="L45" s="5"/>
      <c r="M45" s="5"/>
      <c r="N45" s="4"/>
      <c r="O45" s="4"/>
    </row>
  </sheetData>
  <mergeCells count="15">
    <mergeCell ref="B2:B3"/>
    <mergeCell ref="A2:A3"/>
    <mergeCell ref="A1:N1"/>
    <mergeCell ref="F2:F3"/>
    <mergeCell ref="E2:E3"/>
    <mergeCell ref="D2:D3"/>
    <mergeCell ref="C2:C3"/>
    <mergeCell ref="I3:J3"/>
    <mergeCell ref="I2:J2"/>
    <mergeCell ref="G3:H3"/>
    <mergeCell ref="G2:H2"/>
    <mergeCell ref="M3:N3"/>
    <mergeCell ref="M2:N2"/>
    <mergeCell ref="K2:L2"/>
    <mergeCell ref="K3:L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4">
      <selection activeCell="B3" sqref="B3:C3"/>
    </sheetView>
  </sheetViews>
  <sheetFormatPr defaultColWidth="11.421875" defaultRowHeight="12.75"/>
  <sheetData>
    <row r="1" spans="4:15" ht="18.75" thickBot="1">
      <c r="D1" s="172" t="s">
        <v>33</v>
      </c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1:3" ht="16.5" thickBot="1">
      <c r="A2" s="26" t="s">
        <v>34</v>
      </c>
      <c r="B2" s="27">
        <v>16.3</v>
      </c>
      <c r="C2" s="28" t="s">
        <v>1</v>
      </c>
    </row>
    <row r="3" spans="1:15" ht="16.5" thickBot="1">
      <c r="A3" s="29" t="s">
        <v>35</v>
      </c>
      <c r="B3" s="173">
        <f ca="1">TODAY()</f>
        <v>41207</v>
      </c>
      <c r="C3" s="174"/>
      <c r="D3" s="175" t="s">
        <v>36</v>
      </c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5" ht="13.5" thickBot="1"/>
    <row r="6" spans="1:15" ht="15.75" thickBot="1">
      <c r="A6" s="166" t="s">
        <v>37</v>
      </c>
      <c r="B6" s="167"/>
      <c r="C6" s="168"/>
      <c r="D6" s="169" t="s">
        <v>38</v>
      </c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1"/>
    </row>
    <row r="7" spans="1:15" ht="15.75" thickBot="1">
      <c r="A7" s="166"/>
      <c r="B7" s="167"/>
      <c r="C7" s="168"/>
      <c r="D7" s="30" t="s">
        <v>39</v>
      </c>
      <c r="E7" s="31" t="s">
        <v>40</v>
      </c>
      <c r="F7" s="31" t="s">
        <v>41</v>
      </c>
      <c r="G7" s="31" t="s">
        <v>42</v>
      </c>
      <c r="H7" s="31" t="s">
        <v>43</v>
      </c>
      <c r="I7" s="31" t="s">
        <v>11</v>
      </c>
      <c r="J7" s="31" t="s">
        <v>12</v>
      </c>
      <c r="K7" s="31" t="s">
        <v>13</v>
      </c>
      <c r="L7" s="31" t="s">
        <v>44</v>
      </c>
      <c r="M7" s="31" t="s">
        <v>45</v>
      </c>
      <c r="N7" s="31" t="s">
        <v>46</v>
      </c>
      <c r="O7" s="32" t="s">
        <v>14</v>
      </c>
    </row>
    <row r="8" spans="1:15" ht="15" thickBot="1">
      <c r="A8" s="163" t="s">
        <v>47</v>
      </c>
      <c r="B8" s="164"/>
      <c r="C8" s="165"/>
      <c r="D8" s="33">
        <f>(25*3600/((120*B2)/100)/1000)</f>
        <v>4.601226993865031</v>
      </c>
      <c r="E8" s="34">
        <f>(50*3600/((120*B2)/100)/1000)</f>
        <v>9.202453987730062</v>
      </c>
      <c r="F8" s="34">
        <f>(75*3600/((120*B2)/100)/1000)</f>
        <v>13.803680981595093</v>
      </c>
      <c r="G8" s="34">
        <f>(100*3600/((120*B2)/100)/1000)</f>
        <v>18.404907975460123</v>
      </c>
      <c r="H8" s="34">
        <f>(150*3600/((120*B2)/100)/1000)</f>
        <v>27.607361963190186</v>
      </c>
      <c r="I8" s="34">
        <f>(200*3600/((120*B2)/100)/1000)</f>
        <v>36.809815950920246</v>
      </c>
      <c r="J8" s="35">
        <f>(300*3600/((120*B2)/100)/1000)</f>
        <v>55.21472392638037</v>
      </c>
      <c r="K8" s="35">
        <f>(400*3600/((120*B2)/100)/1000)</f>
        <v>73.61963190184049</v>
      </c>
      <c r="L8" s="35">
        <f>(500*3600/((120*B2)/100)/1000)</f>
        <v>92.02453987730061</v>
      </c>
      <c r="M8" s="35">
        <f>(600*3600/((120*B2)/100)/1000)</f>
        <v>110.42944785276075</v>
      </c>
      <c r="N8" s="35">
        <f>(800*3600/((120*B2)/100)/1000)</f>
        <v>147.23926380368098</v>
      </c>
      <c r="O8" s="36">
        <f>(1000*3600/((120*B2)/100)/1000)</f>
        <v>184.04907975460122</v>
      </c>
    </row>
    <row r="9" spans="1:15" ht="15" thickBot="1">
      <c r="A9" s="163" t="s">
        <v>48</v>
      </c>
      <c r="B9" s="164"/>
      <c r="C9" s="165"/>
      <c r="D9" s="37">
        <f>(25*3600/((110*B2)/100)/1000)</f>
        <v>5.01952035694367</v>
      </c>
      <c r="E9" s="38">
        <f>(50*3600/((110*B2)/100)/1000)</f>
        <v>10.03904071388734</v>
      </c>
      <c r="F9" s="38">
        <f>(75*3600/((110*B2)/100)/1000)</f>
        <v>15.058561070831011</v>
      </c>
      <c r="G9" s="38">
        <f>(100*3600/((110*B2)/100)/1000)</f>
        <v>20.07808142777468</v>
      </c>
      <c r="H9" s="38">
        <f>(150*3600/((110*B2)/100)/1000)</f>
        <v>30.117122141662023</v>
      </c>
      <c r="I9" s="38">
        <f>(200*3600/((110*B2)/100)/1000)</f>
        <v>40.15616285554936</v>
      </c>
      <c r="J9" s="38">
        <f>(300*3600/((110*B2)/100)/1000)</f>
        <v>60.234244283324045</v>
      </c>
      <c r="K9" s="38">
        <f>(400*3600/((110*B2)/100)/1000)</f>
        <v>80.31232571109872</v>
      </c>
      <c r="L9" s="39">
        <f>(500*3600/((110*B2)/100)/1000)</f>
        <v>100.3904071388734</v>
      </c>
      <c r="M9" s="39">
        <f>(600*3600/((110*B2)/100)/1000)</f>
        <v>120.46848856664809</v>
      </c>
      <c r="N9" s="39">
        <f>(800*3600/((110*B2)/100)/1000)</f>
        <v>160.62465142219745</v>
      </c>
      <c r="O9" s="36">
        <f>(1000*3600/((110*B2)/100)/1000)</f>
        <v>200.7808142777468</v>
      </c>
    </row>
    <row r="10" spans="1:15" ht="15" thickBot="1">
      <c r="A10" s="163" t="s">
        <v>49</v>
      </c>
      <c r="B10" s="164"/>
      <c r="C10" s="165"/>
      <c r="D10" s="37">
        <f>(25*3600/((105*B2)/100)/1000)</f>
        <v>5.25854513584575</v>
      </c>
      <c r="E10" s="39">
        <f>(50*3600/((105*B2)/100)/1000)</f>
        <v>10.5170902716915</v>
      </c>
      <c r="F10" s="38">
        <f>(75*3600/((105*B2)/100)/1000)</f>
        <v>15.77563540753725</v>
      </c>
      <c r="G10" s="38">
        <f>(100*3600/((106*B2)/100)/1000)</f>
        <v>20.83574487787938</v>
      </c>
      <c r="H10" s="38">
        <f>(150*3600/((105*B2)/100)/1000)</f>
        <v>31.5512708150745</v>
      </c>
      <c r="I10" s="38">
        <f>(200*3600/((105*B2)/100)/1000)</f>
        <v>42.068361086766</v>
      </c>
      <c r="J10" s="38">
        <f>(300*3600/((105*B2)/100)/1000)</f>
        <v>63.102541630149</v>
      </c>
      <c r="K10" s="38">
        <f>(400*3600/((105*B2)/100)/1000)</f>
        <v>84.136722173532</v>
      </c>
      <c r="L10" s="38">
        <f>(500*3600/((105*B2)/100)/1000)</f>
        <v>105.170902716915</v>
      </c>
      <c r="M10" s="38">
        <f>(600*3600/((105*B2)/100)/1000)</f>
        <v>126.205083260298</v>
      </c>
      <c r="N10" s="39">
        <f>(800*3600/((105*B2)/100)/1000)</f>
        <v>168.273444347064</v>
      </c>
      <c r="O10" s="40">
        <f>(1000*3600/((105*B2)/100)/1000)</f>
        <v>210.34180543383</v>
      </c>
    </row>
    <row r="11" spans="1:15" ht="15" thickBot="1">
      <c r="A11" s="163" t="s">
        <v>50</v>
      </c>
      <c r="B11" s="164"/>
      <c r="C11" s="165"/>
      <c r="D11" s="37">
        <f>100*(25*3600/B2/1000)/100</f>
        <v>5.521472392638037</v>
      </c>
      <c r="E11" s="39">
        <f>100*(50*3600/B2/1000)/100</f>
        <v>11.042944785276074</v>
      </c>
      <c r="F11" s="39">
        <f>100*(75*3600/B2/1000)/100</f>
        <v>16.56441717791411</v>
      </c>
      <c r="G11" s="38">
        <f>100*(100*3600/B2/1000)/100</f>
        <v>22.085889570552148</v>
      </c>
      <c r="H11" s="38">
        <f>100*(150*3600/B2/1000)/100</f>
        <v>33.12883435582822</v>
      </c>
      <c r="I11" s="38">
        <f>100*(200*3600/B2/1000)/100</f>
        <v>44.171779141104295</v>
      </c>
      <c r="J11" s="38">
        <f>100*(300*3600/B2/1000)/100</f>
        <v>66.25766871165644</v>
      </c>
      <c r="K11" s="38">
        <f>100*(400*3600/B2/1000)/100</f>
        <v>88.34355828220859</v>
      </c>
      <c r="L11" s="38">
        <f>100*(500*3600/B2/1000)/100</f>
        <v>110.42944785276073</v>
      </c>
      <c r="M11" s="38">
        <f>100*(600*3600/B2/1000)/100</f>
        <v>132.51533742331287</v>
      </c>
      <c r="N11" s="38">
        <f>100*(800*3600/B2/1000)/100</f>
        <v>176.68711656441718</v>
      </c>
      <c r="O11" s="41">
        <f>100*(1000*3600/B2/1000)/100</f>
        <v>220.85889570552146</v>
      </c>
    </row>
    <row r="12" spans="1:15" ht="15" thickBot="1">
      <c r="A12" s="163" t="s">
        <v>51</v>
      </c>
      <c r="B12" s="164"/>
      <c r="C12" s="165"/>
      <c r="D12" s="37">
        <f>(25*3600/((95*B2)/100)/1000)</f>
        <v>5.812076202776882</v>
      </c>
      <c r="E12" s="39">
        <f>(50*3600/((95*B2)/100)/1000)</f>
        <v>11.624152405553764</v>
      </c>
      <c r="F12" s="39">
        <f>(75*3600/((95*B2)/100)/1000)</f>
        <v>17.436228608330644</v>
      </c>
      <c r="G12" s="39">
        <f>(100*3600/((95*B2)/100)/1000)</f>
        <v>23.248304811107527</v>
      </c>
      <c r="H12" s="39">
        <f>(150*3600/((95*B2)/100)/1000)</f>
        <v>34.87245721666129</v>
      </c>
      <c r="I12" s="38">
        <f>(200*3600/((95*B2)/100)/1000)</f>
        <v>46.496609622215054</v>
      </c>
      <c r="J12" s="38">
        <f>(300*3600/((95*B2)/100)/1000)</f>
        <v>69.74491443332258</v>
      </c>
      <c r="K12" s="38">
        <f>(400*3600/((95*B2)/100)/1000)</f>
        <v>92.99321924443011</v>
      </c>
      <c r="L12" s="38">
        <f>(500*3600/((95*B2)/100)/1000)</f>
        <v>116.24152405553762</v>
      </c>
      <c r="M12" s="38">
        <f>(600*3600/((95*B2)/100)/1000)</f>
        <v>139.48982886664515</v>
      </c>
      <c r="N12" s="38">
        <f>(800*3600/((95*B2)/100)/1000)</f>
        <v>185.98643848886022</v>
      </c>
      <c r="O12" s="41">
        <f>(1000*3600/((95*B2)/100)/1000)</f>
        <v>232.48304811107525</v>
      </c>
    </row>
    <row r="13" spans="1:15" ht="15" thickBot="1">
      <c r="A13" s="163" t="s">
        <v>52</v>
      </c>
      <c r="B13" s="164"/>
      <c r="C13" s="165"/>
      <c r="D13" s="37">
        <f>(25*3600/((90*B2)/100)/1000)</f>
        <v>6.134969325153374</v>
      </c>
      <c r="E13" s="39">
        <f>(50*3600/((90*B2)/100)/1000)</f>
        <v>12.269938650306749</v>
      </c>
      <c r="F13" s="39">
        <f>(75*3600/((90*B2)/100)/1000)</f>
        <v>18.404907975460123</v>
      </c>
      <c r="G13" s="39">
        <f>(100*3600/((90*B2)/100)/1000)</f>
        <v>24.539877300613497</v>
      </c>
      <c r="H13" s="39">
        <f>(150*3600/((90*B2)/100)/1000)</f>
        <v>36.809815950920246</v>
      </c>
      <c r="I13" s="39">
        <f>(200*3600/((90*B2)/100)/1000)</f>
        <v>49.079754601226995</v>
      </c>
      <c r="J13" s="39">
        <f>(300*3600/((90*B2)/100)/1000)</f>
        <v>73.61963190184049</v>
      </c>
      <c r="K13" s="38">
        <f>(400*3600/((90*B2)/100)/1000)</f>
        <v>98.15950920245399</v>
      </c>
      <c r="L13" s="38">
        <f>(500*3600/((90*B2)/100)/1000)</f>
        <v>122.69938650306747</v>
      </c>
      <c r="M13" s="38">
        <f>(600*3600/((90*B2)/100)/1000)</f>
        <v>147.23926380368098</v>
      </c>
      <c r="N13" s="38">
        <f>(800*3600/((90*B2)/100)/1000)</f>
        <v>196.31901840490798</v>
      </c>
      <c r="O13" s="41">
        <f>(1000*3600/((90*B2)/100)/1000)</f>
        <v>245.39877300613495</v>
      </c>
    </row>
    <row r="14" spans="1:15" ht="15" thickBot="1">
      <c r="A14" s="163" t="s">
        <v>53</v>
      </c>
      <c r="B14" s="164"/>
      <c r="C14" s="165"/>
      <c r="D14" s="37">
        <f>(25*3600/((85*B2)/100)/1000)</f>
        <v>6.495849873691808</v>
      </c>
      <c r="E14" s="39">
        <f>(50*3600/((85*B2)/100)/1000)</f>
        <v>12.991699747383617</v>
      </c>
      <c r="F14" s="39">
        <f>(75*3600/((85*B2)/100)/1000)</f>
        <v>19.487549621075424</v>
      </c>
      <c r="G14" s="39">
        <f>(100*3600/((85*B2)/100)/1000)</f>
        <v>25.983399494767234</v>
      </c>
      <c r="H14" s="39">
        <f>(150*3600/((85*B2)/100)/1000)</f>
        <v>38.97509924215085</v>
      </c>
      <c r="I14" s="39">
        <f>(200*3600/((85*B2)/100)/1000)</f>
        <v>51.96679898953447</v>
      </c>
      <c r="J14" s="39">
        <f>(300*3600/((85*B2)/100)/1000)</f>
        <v>77.9501984843017</v>
      </c>
      <c r="K14" s="39">
        <f>(400*3600/((85*B2)/100)/1000)</f>
        <v>103.93359797906894</v>
      </c>
      <c r="L14" s="39">
        <f>(500*3600/((85*B2)/100)/1000)</f>
        <v>129.91699747383618</v>
      </c>
      <c r="M14" s="38">
        <f>(600*3600/((85*B2)/100)/1000)</f>
        <v>155.9003969686034</v>
      </c>
      <c r="N14" s="38">
        <f>(800*3600/((85*B2)/100)/1000)</f>
        <v>207.86719595813787</v>
      </c>
      <c r="O14" s="41">
        <f>(1000*3600/((85*B2)/100)/1000)</f>
        <v>259.83399494767235</v>
      </c>
    </row>
    <row r="15" spans="1:15" ht="15" thickBot="1">
      <c r="A15" s="163" t="s">
        <v>54</v>
      </c>
      <c r="B15" s="164"/>
      <c r="C15" s="165"/>
      <c r="D15" s="37">
        <f>(25*3600/((80*B2)/100)/1000)</f>
        <v>6.901840490797547</v>
      </c>
      <c r="E15" s="39">
        <f>(50*3600/((80*B2)/100)/1000)</f>
        <v>13.803680981595093</v>
      </c>
      <c r="F15" s="39">
        <f>(75*3600/((80*B2)/100)/1000)</f>
        <v>20.70552147239264</v>
      </c>
      <c r="G15" s="39">
        <f>(100*3600/((80*B2)/100)/1000)</f>
        <v>27.607361963190186</v>
      </c>
      <c r="H15" s="39">
        <f>(150*3600/((80*B2)/100)/1000)</f>
        <v>41.41104294478528</v>
      </c>
      <c r="I15" s="39">
        <f>(200*3600/((80*B2)/100)/1000)</f>
        <v>55.21472392638037</v>
      </c>
      <c r="J15" s="39">
        <f>(300*3600/((80*B2)/100)/1000)</f>
        <v>82.82208588957056</v>
      </c>
      <c r="K15" s="39">
        <f>(400*3600/((80*B2)/100)/1000)</f>
        <v>110.42944785276075</v>
      </c>
      <c r="L15" s="39">
        <f>(500*3600/((80*B2)/100)/1000)</f>
        <v>138.03680981595093</v>
      </c>
      <c r="M15" s="39">
        <f>(600*3600/((80*B2)/100)/1000)</f>
        <v>165.64417177914112</v>
      </c>
      <c r="N15" s="39">
        <f>(800*3600/((80*B2)/100)/1000)</f>
        <v>220.8588957055215</v>
      </c>
      <c r="O15" s="41">
        <f>(1000*3600/((80*B2)/100)/1000)</f>
        <v>276.07361963190186</v>
      </c>
    </row>
    <row r="16" spans="1:15" ht="15" thickBot="1">
      <c r="A16" s="163" t="s">
        <v>55</v>
      </c>
      <c r="B16" s="164"/>
      <c r="C16" s="165"/>
      <c r="D16" s="37">
        <f>(25*3600/((75*B2)/100)/1000)</f>
        <v>7.361963190184049</v>
      </c>
      <c r="E16" s="39">
        <f>(50*3600/((75*B2)/100)/1000)</f>
        <v>14.723926380368098</v>
      </c>
      <c r="F16" s="39">
        <f>(75*3600/((75*B2)/100)/1000)</f>
        <v>22.085889570552148</v>
      </c>
      <c r="G16" s="39">
        <f>(100*3600/((75*B2)/100)/1000)</f>
        <v>29.447852760736197</v>
      </c>
      <c r="H16" s="39">
        <f>(150*3600/((75*B2)/100)/1000)</f>
        <v>44.171779141104295</v>
      </c>
      <c r="I16" s="39">
        <f>(200*3600/((75*B2)/100)/1000)</f>
        <v>58.895705521472394</v>
      </c>
      <c r="J16" s="39">
        <f>(300*3600/((75*B2)/100)/1000)</f>
        <v>88.34355828220859</v>
      </c>
      <c r="K16" s="39">
        <f>(400*3600/((75*B2)/100)/1000)</f>
        <v>117.79141104294479</v>
      </c>
      <c r="L16" s="39">
        <f>(500*3600/((75*B2)/100)/1000)</f>
        <v>147.23926380368098</v>
      </c>
      <c r="M16" s="39">
        <f>(600*3600/((75*B2)/100)/1000)</f>
        <v>176.68711656441718</v>
      </c>
      <c r="N16" s="39">
        <f>(800*3600/((75*B2)/100)/1000)</f>
        <v>235.58282208588957</v>
      </c>
      <c r="O16" s="40">
        <f>(1000*3600/((75*B2)/100)/1000)</f>
        <v>294.47852760736197</v>
      </c>
    </row>
    <row r="17" spans="1:15" ht="15" thickBot="1">
      <c r="A17" s="163" t="s">
        <v>56</v>
      </c>
      <c r="B17" s="164"/>
      <c r="C17" s="165"/>
      <c r="D17" s="37">
        <f>(25*3600/((70*B2)/100)/1000)</f>
        <v>7.887817703768624</v>
      </c>
      <c r="E17" s="39">
        <f>(50*3600/((70*B2)/100)/1000)</f>
        <v>15.775635407537248</v>
      </c>
      <c r="F17" s="39">
        <f>(75*3600/((70*B2)/100)/1000)</f>
        <v>23.663453111305873</v>
      </c>
      <c r="G17" s="39">
        <f>(100*3600/((70*B2)/100)/1000)</f>
        <v>31.551270815074496</v>
      </c>
      <c r="H17" s="39">
        <f>(150*3600/((70*B2)/100)/1000)</f>
        <v>47.32690622261175</v>
      </c>
      <c r="I17" s="39">
        <f>(200*3600/((70*B2)/100)/1000)</f>
        <v>63.10254163014899</v>
      </c>
      <c r="J17" s="39">
        <f>(300*3600/((70*B2)/100)/1000)</f>
        <v>94.6538124452235</v>
      </c>
      <c r="K17" s="39">
        <f>(400*3600/((70*B2)/100)/1000)</f>
        <v>126.20508326029798</v>
      </c>
      <c r="L17" s="39">
        <f>(500*3600/((70*B2)/100)/1000)</f>
        <v>157.75635407537249</v>
      </c>
      <c r="M17" s="39">
        <f>(600*3600/((70*B2)/100)/1000)</f>
        <v>189.307624890447</v>
      </c>
      <c r="N17" s="39">
        <f>(800*3600/((70*B2)/100)/1000)</f>
        <v>252.41016652059596</v>
      </c>
      <c r="O17" s="40">
        <f>(1000*3600/((70*B2)/100)/1000)</f>
        <v>315.51270815074497</v>
      </c>
    </row>
    <row r="18" spans="1:15" ht="15" thickBot="1">
      <c r="A18" s="163" t="s">
        <v>57</v>
      </c>
      <c r="B18" s="164"/>
      <c r="C18" s="165"/>
      <c r="D18" s="37">
        <f>(25*3600/((60*B2)/100)/1000)</f>
        <v>9.202453987730062</v>
      </c>
      <c r="E18" s="39">
        <f>(50*3600/((60*B2)/100)/1000)</f>
        <v>18.404907975460123</v>
      </c>
      <c r="F18" s="39">
        <f>(75*3600/((60*B2)/100)/1000)</f>
        <v>27.607361963190186</v>
      </c>
      <c r="G18" s="39">
        <f>(100*3600/((60*B2)/100)/1000)</f>
        <v>36.809815950920246</v>
      </c>
      <c r="H18" s="39">
        <f>(150*3600/((60*B2)/100)/1000)</f>
        <v>55.21472392638037</v>
      </c>
      <c r="I18" s="39">
        <f>(200*3600/((60*B2)/100)/1000)</f>
        <v>73.61963190184049</v>
      </c>
      <c r="J18" s="39">
        <f>(300*3600/((60*B2)/100)/1000)</f>
        <v>110.42944785276075</v>
      </c>
      <c r="K18" s="39">
        <f>(400*3600/((60*B2)/100)/1000)</f>
        <v>147.23926380368098</v>
      </c>
      <c r="L18" s="39">
        <f>(500*3600/((60*B2)/100)/1000)</f>
        <v>184.04907975460122</v>
      </c>
      <c r="M18" s="39">
        <f>(600*3600/((60*B2)/100)/1000)</f>
        <v>220.8588957055215</v>
      </c>
      <c r="N18" s="39">
        <f>(800*3600/((60*B2)/100)/1000)</f>
        <v>294.47852760736197</v>
      </c>
      <c r="O18" s="40">
        <f>(1000*3600/((60*B2)/100)/1000)</f>
        <v>368.09815950920245</v>
      </c>
    </row>
    <row r="19" spans="1:15" ht="15" thickBot="1">
      <c r="A19" s="163" t="s">
        <v>58</v>
      </c>
      <c r="B19" s="164"/>
      <c r="C19" s="165"/>
      <c r="D19" s="42">
        <f>(25*3600/((50*B2)/100)/1000)</f>
        <v>11.042944785276074</v>
      </c>
      <c r="E19" s="43">
        <f>(50*3600/((50*B2)/100)/1000)</f>
        <v>22.085889570552148</v>
      </c>
      <c r="F19" s="43">
        <f>(75*3600/((50*B2)/100)/1000)</f>
        <v>33.12883435582822</v>
      </c>
      <c r="G19" s="43">
        <f>(100*3600/((50*B2)/100)/1000)</f>
        <v>44.171779141104295</v>
      </c>
      <c r="H19" s="43">
        <f>(150*3600/((50*B2)/100)/1000)</f>
        <v>66.25766871165644</v>
      </c>
      <c r="I19" s="43">
        <f>(200*3600/((50*B2)/100)/1000)</f>
        <v>88.34355828220859</v>
      </c>
      <c r="J19" s="43">
        <f>(300*3600/((50*B2)/100)/1000)</f>
        <v>132.51533742331287</v>
      </c>
      <c r="K19" s="43">
        <f>(400*3600/((50*B2)/100)/1000)</f>
        <v>176.68711656441718</v>
      </c>
      <c r="L19" s="43">
        <f>(500*3600/((50*B2)/100)/1000)</f>
        <v>220.85889570552146</v>
      </c>
      <c r="M19" s="43">
        <f>(600*3600/((50*B2)/100)/1000)</f>
        <v>265.03067484662574</v>
      </c>
      <c r="N19" s="43">
        <f>(800*3600/((50*B2)/100)/1000)</f>
        <v>353.37423312883436</v>
      </c>
      <c r="O19" s="44">
        <f>(1000*3600/((50*B2)/100)/1000)</f>
        <v>441.7177914110429</v>
      </c>
    </row>
    <row r="20" ht="13.5" thickBot="1"/>
    <row r="21" spans="1:15" ht="15.75" thickBot="1">
      <c r="A21" s="166" t="s">
        <v>37</v>
      </c>
      <c r="B21" s="167"/>
      <c r="C21" s="168"/>
      <c r="D21" s="169" t="s">
        <v>59</v>
      </c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1"/>
    </row>
    <row r="22" spans="1:15" ht="15.75" thickBot="1">
      <c r="A22" s="166"/>
      <c r="B22" s="167"/>
      <c r="C22" s="168"/>
      <c r="D22" s="30" t="s">
        <v>60</v>
      </c>
      <c r="E22" s="31" t="s">
        <v>61</v>
      </c>
      <c r="F22" s="31" t="s">
        <v>15</v>
      </c>
      <c r="G22" s="31" t="s">
        <v>16</v>
      </c>
      <c r="H22" s="31" t="s">
        <v>62</v>
      </c>
      <c r="I22" s="31" t="s">
        <v>17</v>
      </c>
      <c r="J22" s="31" t="s">
        <v>63</v>
      </c>
      <c r="K22" s="31" t="s">
        <v>64</v>
      </c>
      <c r="L22" s="31" t="s">
        <v>65</v>
      </c>
      <c r="M22" s="31" t="s">
        <v>66</v>
      </c>
      <c r="N22" s="31" t="s">
        <v>67</v>
      </c>
      <c r="O22" s="32" t="s">
        <v>68</v>
      </c>
    </row>
    <row r="23" spans="1:15" ht="15" thickBot="1">
      <c r="A23" s="163" t="s">
        <v>47</v>
      </c>
      <c r="B23" s="164"/>
      <c r="C23" s="165"/>
      <c r="D23" s="45">
        <f>(1200*60/((120*B2)/100)/1000)</f>
        <v>3.6809815950920246</v>
      </c>
      <c r="E23" s="46">
        <f>(1500*60/((120*B2)/100)/1000)</f>
        <v>4.601226993865031</v>
      </c>
      <c r="F23" s="46">
        <f>(2000*60/((120*B2)/100)/1000)</f>
        <v>6.134969325153374</v>
      </c>
      <c r="G23" s="46">
        <f>(3000*60/((120*B2)/100)/1000)</f>
        <v>9.202453987730062</v>
      </c>
      <c r="H23" s="46">
        <f>(4000*60/((120*B2)/100)/1000)</f>
        <v>12.269938650306749</v>
      </c>
      <c r="I23" s="46">
        <f>(5000*60/((120*B2)/100)/1000)</f>
        <v>15.337423312883436</v>
      </c>
      <c r="J23" s="47">
        <f>(6000*60/((120*B2)/100)/1000)</f>
        <v>18.404907975460123</v>
      </c>
      <c r="K23" s="47">
        <f>(8000*60/((120*B2)/100)/1000)</f>
        <v>24.539877300613497</v>
      </c>
      <c r="L23" s="47">
        <f>(10000*60/((120*B2)/100)/1000)</f>
        <v>30.67484662576687</v>
      </c>
      <c r="M23" s="47">
        <f>(12000*60/((120*B2)/100)/1000)</f>
        <v>36.809815950920246</v>
      </c>
      <c r="N23" s="47">
        <f>(15000*60/((120*B2)/100)/1000)</f>
        <v>46.012269938650306</v>
      </c>
      <c r="O23" s="48">
        <f>(20000*60/((120*B2)/100)/1000)</f>
        <v>61.34969325153374</v>
      </c>
    </row>
    <row r="24" spans="1:15" ht="15" thickBot="1">
      <c r="A24" s="163" t="s">
        <v>48</v>
      </c>
      <c r="B24" s="164"/>
      <c r="C24" s="165"/>
      <c r="D24" s="49">
        <f>(1200*60/((110*B2)/100)/1000)</f>
        <v>4.015616285554936</v>
      </c>
      <c r="E24" s="50">
        <f>(1500*60/((110*B2)/100)/1000)</f>
        <v>5.01952035694367</v>
      </c>
      <c r="F24" s="50">
        <f>(2000*60/((110*B2)/100)/1000)</f>
        <v>6.692693809258227</v>
      </c>
      <c r="G24" s="50">
        <f>(3000*60/((110*B2)/100)/1000)</f>
        <v>10.03904071388734</v>
      </c>
      <c r="H24" s="50">
        <f>(4000*60/((110*B2)/100)/1000)</f>
        <v>13.385387618516454</v>
      </c>
      <c r="I24" s="50">
        <f>(5000*60/((110*B2)/100)/1000)</f>
        <v>16.731734523145565</v>
      </c>
      <c r="J24" s="39">
        <f>(6000*60/((110*B2)/100)/1000)</f>
        <v>20.07808142777468</v>
      </c>
      <c r="K24" s="39">
        <f>(8000*60/((110*B2)/100)/1000)</f>
        <v>26.770775237032908</v>
      </c>
      <c r="L24" s="39">
        <f>(10000*60/((110*B2)/100)/1000)</f>
        <v>33.46346904629113</v>
      </c>
      <c r="M24" s="39">
        <f>(12000*60/((110*B2)/100)/1000)</f>
        <v>40.15616285554936</v>
      </c>
      <c r="N24" s="39">
        <f>(15000*60/((110*B2)/100)/1000)</f>
        <v>50.1952035694367</v>
      </c>
      <c r="O24" s="40">
        <f>(20000*60/((110*B2)/100)/1000)</f>
        <v>66.92693809258226</v>
      </c>
    </row>
    <row r="25" spans="1:15" ht="15" thickBot="1">
      <c r="A25" s="163" t="s">
        <v>49</v>
      </c>
      <c r="B25" s="164"/>
      <c r="C25" s="165"/>
      <c r="D25" s="49">
        <f>(1200*60/((105*B2)/100)/1000)</f>
        <v>4.2068361086766</v>
      </c>
      <c r="E25" s="50">
        <f>(1500*60/((105*B2)/100)/1000)</f>
        <v>5.25854513584575</v>
      </c>
      <c r="F25" s="50">
        <f>(2000*60/((105*B2)/100)/1000)</f>
        <v>7.011393514460999</v>
      </c>
      <c r="G25" s="50">
        <f>(3000*60/((105*B2)/100)/1000)</f>
        <v>10.5170902716915</v>
      </c>
      <c r="H25" s="50">
        <f>(4000*60/((105*B2)/100)/1000)</f>
        <v>14.022787028921998</v>
      </c>
      <c r="I25" s="50">
        <f>(5000*60/((105*B2)/100)/1000)</f>
        <v>17.528483786152503</v>
      </c>
      <c r="J25" s="39">
        <f>(6000*60/((105*B2)/100)/1000)</f>
        <v>21.034180543383</v>
      </c>
      <c r="K25" s="39">
        <f>(8000*60/((105*B2)/100)/1000)</f>
        <v>28.045574057843996</v>
      </c>
      <c r="L25" s="39">
        <f>(10000*60/((105*B2)/100)/1000)</f>
        <v>35.056967572305005</v>
      </c>
      <c r="M25" s="39">
        <f>(12000*60/((105*B2)/100)/1000)</f>
        <v>42.068361086766</v>
      </c>
      <c r="N25" s="39">
        <f>(15000*60/((105*B2)/100)/1000)</f>
        <v>52.5854513584575</v>
      </c>
      <c r="O25" s="40">
        <f>(20000*60/((105*B2)/100)/1000)</f>
        <v>70.11393514461001</v>
      </c>
    </row>
    <row r="26" spans="1:15" ht="15" thickBot="1">
      <c r="A26" s="163" t="s">
        <v>50</v>
      </c>
      <c r="B26" s="164"/>
      <c r="C26" s="165"/>
      <c r="D26" s="51">
        <f>(1200*60/((100*B2)/100)/1000)</f>
        <v>4.417177914110429</v>
      </c>
      <c r="E26" s="39">
        <f>(1500*60/((100*B2)/100)/1000)</f>
        <v>5.521472392638037</v>
      </c>
      <c r="F26" s="39">
        <f>(2000*60/((100*B2)/100)/1000)</f>
        <v>7.361963190184048</v>
      </c>
      <c r="G26" s="39">
        <f>(3000*60/((100*B2)/100)/1000)</f>
        <v>11.042944785276074</v>
      </c>
      <c r="H26" s="39">
        <f>(4000*60/((100*B2)/100)/1000)</f>
        <v>14.723926380368097</v>
      </c>
      <c r="I26" s="39">
        <f>(5000*60/((100*B2)/100)/1000)</f>
        <v>18.404907975460123</v>
      </c>
      <c r="J26" s="39">
        <f>(6000*60/((100*B2)/100)/1000)</f>
        <v>22.085889570552148</v>
      </c>
      <c r="K26" s="39">
        <f>(8000*60/((100*B2)/100)/1000)</f>
        <v>29.447852760736193</v>
      </c>
      <c r="L26" s="39">
        <f>(10000*60/((100*B2)/100)/1000)</f>
        <v>36.809815950920246</v>
      </c>
      <c r="M26" s="39">
        <f>(12000*60/((100*B2)/100)/1000)</f>
        <v>44.171779141104295</v>
      </c>
      <c r="N26" s="39">
        <f>(15000*60/((100*B2)/100)/1000)</f>
        <v>55.214723926380366</v>
      </c>
      <c r="O26" s="40">
        <f>(20000*60/((100*B2)/100)/1000)</f>
        <v>73.61963190184049</v>
      </c>
    </row>
    <row r="27" spans="1:15" ht="15" thickBot="1">
      <c r="A27" s="163" t="s">
        <v>51</v>
      </c>
      <c r="B27" s="164"/>
      <c r="C27" s="165"/>
      <c r="D27" s="52">
        <f>(1200*60/((95*B2)/100)/1000)</f>
        <v>4.649660962221505</v>
      </c>
      <c r="E27" s="38">
        <f>(1500*60/((95*B2)/100)/1000)</f>
        <v>5.812076202776882</v>
      </c>
      <c r="F27" s="39">
        <f>(2000*60/((95*B2)/100)/1000)</f>
        <v>7.749434937035842</v>
      </c>
      <c r="G27" s="39">
        <f>(3000*60/((95*B2)/100)/1000)</f>
        <v>11.624152405553764</v>
      </c>
      <c r="H27" s="39">
        <f>(4000*60/((95*B2)/100)/1000)</f>
        <v>15.498869874071683</v>
      </c>
      <c r="I27" s="39">
        <f>(5000*60/((95*B2)/100)/1000)</f>
        <v>19.3735873425896</v>
      </c>
      <c r="J27" s="39">
        <f>(6000*60/((95*B2)/100)/1000)</f>
        <v>23.248304811107527</v>
      </c>
      <c r="K27" s="39">
        <f>(8000*60/((95*B2)/100)/1000)</f>
        <v>30.997739748143367</v>
      </c>
      <c r="L27" s="39">
        <f>(10000*60/((95*B2)/100)/1000)</f>
        <v>38.7471746851792</v>
      </c>
      <c r="M27" s="39">
        <f>(12000*60/((95*B2)/100)/1000)</f>
        <v>46.496609622215054</v>
      </c>
      <c r="N27" s="39">
        <f>(15000*60/((95*B2)/100)/1000)</f>
        <v>58.12076202776881</v>
      </c>
      <c r="O27" s="40">
        <f>(20000*60/((95*B2)/100)/1000)</f>
        <v>77.4943493703584</v>
      </c>
    </row>
    <row r="28" spans="1:15" ht="15" thickBot="1">
      <c r="A28" s="163" t="s">
        <v>52</v>
      </c>
      <c r="B28" s="164"/>
      <c r="C28" s="165"/>
      <c r="D28" s="52">
        <f>(1200*60/((90*B2)/100)/1000)</f>
        <v>4.9079754601226995</v>
      </c>
      <c r="E28" s="38">
        <f>(1500*60/((90*B2)/100)/1000)</f>
        <v>6.134969325153374</v>
      </c>
      <c r="F28" s="38">
        <f>(2000*60/((90*B2)/100)/1000)</f>
        <v>8.1799591002045</v>
      </c>
      <c r="G28" s="38">
        <f>(3000*60/((90*B2)/100)/1000)</f>
        <v>12.269938650306749</v>
      </c>
      <c r="H28" s="39">
        <f>(4000*60/((90*B2)/100)/1000)</f>
        <v>16.359918200409</v>
      </c>
      <c r="I28" s="39">
        <f>(5000*60/((90*B2)/100)/1000)</f>
        <v>20.449897750511248</v>
      </c>
      <c r="J28" s="39">
        <f>(6000*60/((90*B2)/100)/1000)</f>
        <v>24.539877300613497</v>
      </c>
      <c r="K28" s="39">
        <f>(8000*60/((90*B2)/100)/1000)</f>
        <v>32.719836400818</v>
      </c>
      <c r="L28" s="39">
        <f>(10000*60/((90*B2)/100)/1000)</f>
        <v>40.899795501022496</v>
      </c>
      <c r="M28" s="39">
        <f>(12000*60/((90*B2)/100)/1000)</f>
        <v>49.079754601226995</v>
      </c>
      <c r="N28" s="39">
        <f>(15000*60/((90*B2)/100)/1000)</f>
        <v>61.349693251533736</v>
      </c>
      <c r="O28" s="40">
        <f>(20000*60/((90*B2)/100)/1000)</f>
        <v>81.79959100204499</v>
      </c>
    </row>
    <row r="29" spans="1:15" ht="15" thickBot="1">
      <c r="A29" s="163" t="s">
        <v>53</v>
      </c>
      <c r="B29" s="164"/>
      <c r="C29" s="165"/>
      <c r="D29" s="52">
        <f>(1200*60/((85*B2)/100)/1000)</f>
        <v>5.196679898953446</v>
      </c>
      <c r="E29" s="38">
        <f>(1500*60/((85*B2)/100)/1000)</f>
        <v>6.495849873691808</v>
      </c>
      <c r="F29" s="38">
        <f>(2000*60/((85*B2)/100)/1000)</f>
        <v>8.66113316492241</v>
      </c>
      <c r="G29" s="38">
        <f>(3000*60/((85*B2)/100)/1000)</f>
        <v>12.991699747383617</v>
      </c>
      <c r="H29" s="38">
        <f>(4000*60/((85*B2)/100)/1000)</f>
        <v>17.32226632984482</v>
      </c>
      <c r="I29" s="38">
        <f>(5000*60/((85*B2)/100)/1000)</f>
        <v>21.652832912306025</v>
      </c>
      <c r="J29" s="50">
        <f>(6000*60/((85*B2)/100)/1000)</f>
        <v>25.983399494767234</v>
      </c>
      <c r="K29" s="50">
        <f>(8000*60/((85*B2)/100)/1000)</f>
        <v>34.64453265968964</v>
      </c>
      <c r="L29" s="50">
        <f>(10000*60/((85*B2)/100)/1000)</f>
        <v>43.30566582461205</v>
      </c>
      <c r="M29" s="39">
        <f>(12000*60/((85*B2)/100)/1000)</f>
        <v>51.96679898953447</v>
      </c>
      <c r="N29" s="39">
        <f>(15000*60/((85*B2)/100)/1000)</f>
        <v>64.95849873691809</v>
      </c>
      <c r="O29" s="40">
        <f>(20000*60/((85*B2)/100)/1000)</f>
        <v>86.6113316492241</v>
      </c>
    </row>
    <row r="30" spans="1:15" ht="15" thickBot="1">
      <c r="A30" s="163" t="s">
        <v>54</v>
      </c>
      <c r="B30" s="164"/>
      <c r="C30" s="165"/>
      <c r="D30" s="52">
        <f>(1200*60/((80*B2)/100)/1000)</f>
        <v>5.521472392638038</v>
      </c>
      <c r="E30" s="38">
        <f>(1500*60/((80*B2)/100)/1000)</f>
        <v>6.901840490797547</v>
      </c>
      <c r="F30" s="38">
        <f>(2000*60/((80*B2)/100)/1000)</f>
        <v>9.202453987730062</v>
      </c>
      <c r="G30" s="38">
        <f>(3000*60/((80*B2)/100)/1000)</f>
        <v>13.803680981595093</v>
      </c>
      <c r="H30" s="38">
        <f>(4000*60/((80*B2)/100)/1000)</f>
        <v>18.404907975460123</v>
      </c>
      <c r="I30" s="38">
        <f>(5000*60/((80*B2)/100)/1000)</f>
        <v>23.006134969325153</v>
      </c>
      <c r="J30" s="38">
        <f>(6000*60/((80*B2)/100)/1000)</f>
        <v>27.607361963190186</v>
      </c>
      <c r="K30" s="38">
        <f>(8000*60/((80*B2)/100)/1000)</f>
        <v>36.809815950920246</v>
      </c>
      <c r="L30" s="38">
        <f>(10000*60/((80*B2)/100)/1000)</f>
        <v>46.012269938650306</v>
      </c>
      <c r="M30" s="39">
        <f>(12000*60/((80*B2)/100)/1000)</f>
        <v>55.21472392638037</v>
      </c>
      <c r="N30" s="39">
        <f>(15000*60/((80*B2)/100)/1000)</f>
        <v>69.01840490797547</v>
      </c>
      <c r="O30" s="40">
        <f>(20000*60/((80*B2)/100)/1000)</f>
        <v>92.02453987730061</v>
      </c>
    </row>
    <row r="31" spans="1:15" ht="15" thickBot="1">
      <c r="A31" s="163" t="s">
        <v>55</v>
      </c>
      <c r="B31" s="164"/>
      <c r="C31" s="165"/>
      <c r="D31" s="52">
        <f>(1200*60/((75*B2)/100)/1000)</f>
        <v>5.889570552147239</v>
      </c>
      <c r="E31" s="38">
        <f>(1500*60/((75*B2)/100)/1000)</f>
        <v>7.361963190184049</v>
      </c>
      <c r="F31" s="38">
        <f>(2000*60/((75*B2)/100)/1000)</f>
        <v>9.815950920245399</v>
      </c>
      <c r="G31" s="38">
        <f>(3000*60/((75*B2)/100)/1000)</f>
        <v>14.723926380368098</v>
      </c>
      <c r="H31" s="38">
        <f>(4000*60/((75*B2)/100)/1000)</f>
        <v>19.631901840490798</v>
      </c>
      <c r="I31" s="38">
        <f>(5000*60/((75*B2)/100)/1000)</f>
        <v>24.539877300613497</v>
      </c>
      <c r="J31" s="38">
        <f>(6000*60/((75*B2)/100)/1000)</f>
        <v>29.447852760736197</v>
      </c>
      <c r="K31" s="38">
        <f>(8000*60/((75*B2)/100)/1000)</f>
        <v>39.263803680981596</v>
      </c>
      <c r="L31" s="38">
        <f>(10000*60/((75*B2)/100)/1000)</f>
        <v>49.079754601226995</v>
      </c>
      <c r="M31" s="38">
        <f>(12000*60/((75*B2)/100)/1000)</f>
        <v>58.895705521472394</v>
      </c>
      <c r="N31" s="38">
        <f>(15000*60/((75*B2)/100)/1000)</f>
        <v>73.61963190184049</v>
      </c>
      <c r="O31" s="40">
        <f>(20000*60/((75*B2)/100)/1000)</f>
        <v>98.15950920245399</v>
      </c>
    </row>
    <row r="32" spans="1:15" ht="15" thickBot="1">
      <c r="A32" s="163" t="s">
        <v>56</v>
      </c>
      <c r="B32" s="164"/>
      <c r="C32" s="165"/>
      <c r="D32" s="51">
        <f>(1200*60/((70*B2)/100)/1000)</f>
        <v>6.310254163014899</v>
      </c>
      <c r="E32" s="38">
        <f>(1500*60/((70*B2)/100)/1000)</f>
        <v>7.887817703768624</v>
      </c>
      <c r="F32" s="38">
        <f>(2000*60/((70*B2)/100)/1000)</f>
        <v>10.5170902716915</v>
      </c>
      <c r="G32" s="38">
        <f>(3000*60/((70*B2)/100)/1000)</f>
        <v>15.775635407537248</v>
      </c>
      <c r="H32" s="38">
        <f>(4000*60/((70*B2)/100)/1000)</f>
        <v>21.034180543383</v>
      </c>
      <c r="I32" s="38">
        <f>(5000*60/((70*B2)/100)/1000)</f>
        <v>26.29272567922875</v>
      </c>
      <c r="J32" s="38">
        <f>(6000*60/((70*B2)/100)/1000)</f>
        <v>31.551270815074496</v>
      </c>
      <c r="K32" s="38">
        <f>(8000*60/((70*B2)/100)/1000)</f>
        <v>42.068361086766</v>
      </c>
      <c r="L32" s="38">
        <f>(10000*60/((70*B2)/100)/1000)</f>
        <v>52.5854513584575</v>
      </c>
      <c r="M32" s="38">
        <f>(12000*60/((70*B2)/100)/1000)</f>
        <v>63.10254163014899</v>
      </c>
      <c r="N32" s="38">
        <f>(15000*60/((70*B2)/100)/1000)</f>
        <v>78.87817703768624</v>
      </c>
      <c r="O32" s="41">
        <f>(20000*60/((70*B2)/100)/1000)</f>
        <v>105.170902716915</v>
      </c>
    </row>
    <row r="33" spans="1:15" ht="15" thickBot="1">
      <c r="A33" s="163" t="s">
        <v>57</v>
      </c>
      <c r="B33" s="164"/>
      <c r="C33" s="165"/>
      <c r="D33" s="51">
        <f>(1200*60/((60*B2)/100)/1000)</f>
        <v>7.361963190184049</v>
      </c>
      <c r="E33" s="39">
        <f>(1500*60/((60*B2)/100)/1000)</f>
        <v>9.202453987730062</v>
      </c>
      <c r="F33" s="39">
        <f>(2000*60/((60*B2)/100)/1000)</f>
        <v>12.269938650306749</v>
      </c>
      <c r="G33" s="38">
        <f>(3000*60/((60*B2)/100)/1000)</f>
        <v>18.404907975460123</v>
      </c>
      <c r="H33" s="38">
        <f>(4000*60/((60*B2)/100)/1000)</f>
        <v>24.539877300613497</v>
      </c>
      <c r="I33" s="38">
        <f>(5000*60/((60*B2)/100)/1000)</f>
        <v>30.67484662576687</v>
      </c>
      <c r="J33" s="38">
        <f>(6000*60/((60*B2)/100)/1000)</f>
        <v>36.809815950920246</v>
      </c>
      <c r="K33" s="38">
        <f>(8000*60/((60*B2)/100)/1000)</f>
        <v>49.079754601226995</v>
      </c>
      <c r="L33" s="38">
        <f>(10000*60/((60*B2)/100)/1000)</f>
        <v>61.34969325153374</v>
      </c>
      <c r="M33" s="38">
        <f>(12000*60/((60*B2)/100)/1000)</f>
        <v>73.61963190184049</v>
      </c>
      <c r="N33" s="38">
        <f>(15000*60/((60*B2)/100)/1000)</f>
        <v>92.02453987730061</v>
      </c>
      <c r="O33" s="41">
        <f>(20000*60/((60*B2)/100)/1000)</f>
        <v>122.69938650306749</v>
      </c>
    </row>
    <row r="34" spans="1:15" ht="15" thickBot="1">
      <c r="A34" s="163" t="s">
        <v>58</v>
      </c>
      <c r="B34" s="164"/>
      <c r="C34" s="165"/>
      <c r="D34" s="53">
        <f>(1200*60/((50*B2)/100)/1000)</f>
        <v>8.834355828220858</v>
      </c>
      <c r="E34" s="43">
        <f>(1500*60/((50*B2)/100)/1000)</f>
        <v>11.042944785276074</v>
      </c>
      <c r="F34" s="43">
        <f>(2000*60/((50*B2)/100)/1000)</f>
        <v>14.723926380368097</v>
      </c>
      <c r="G34" s="43">
        <f>(3000*60/((50*B2)/100)/1000)</f>
        <v>22.085889570552148</v>
      </c>
      <c r="H34" s="43">
        <f>(4000*60/((50*B2)/100)/1000)</f>
        <v>29.447852760736193</v>
      </c>
      <c r="I34" s="54">
        <f>(5000*60/((50*B2)/100)/1000)</f>
        <v>36.809815950920246</v>
      </c>
      <c r="J34" s="54">
        <f>(6000*60/((50*B2)/100)/1000)</f>
        <v>44.171779141104295</v>
      </c>
      <c r="K34" s="54">
        <f>(8000*60/((50*B2)/100)/1000)</f>
        <v>58.89570552147239</v>
      </c>
      <c r="L34" s="54">
        <f>(10000*60/((50*B2)/100)/1000)</f>
        <v>73.61963190184049</v>
      </c>
      <c r="M34" s="54">
        <f>(12000*60/((50*B2)/100)/1000)</f>
        <v>88.34355828220859</v>
      </c>
      <c r="N34" s="54">
        <f>(15000*60/((50*B2)/100)/1000)</f>
        <v>110.42944785276073</v>
      </c>
      <c r="O34" s="55">
        <f>(20000*60/((50*B2)/100)/1000)</f>
        <v>147.23926380368098</v>
      </c>
    </row>
  </sheetData>
  <mergeCells count="31">
    <mergeCell ref="D1:O1"/>
    <mergeCell ref="B3:C3"/>
    <mergeCell ref="D3:O3"/>
    <mergeCell ref="A6:C7"/>
    <mergeCell ref="D6:O6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1:C22"/>
    <mergeCell ref="D21:O21"/>
    <mergeCell ref="A23:C23"/>
    <mergeCell ref="A24:C24"/>
    <mergeCell ref="A25:C25"/>
    <mergeCell ref="A26:C26"/>
    <mergeCell ref="A27:C27"/>
    <mergeCell ref="A28:C28"/>
    <mergeCell ref="A33:C33"/>
    <mergeCell ref="A34:C34"/>
    <mergeCell ref="A29:C29"/>
    <mergeCell ref="A30:C30"/>
    <mergeCell ref="A31:C31"/>
    <mergeCell ref="A32:C32"/>
  </mergeCells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41"/>
  <sheetViews>
    <sheetView workbookViewId="0" topLeftCell="A13">
      <selection activeCell="AD28" sqref="AD28"/>
    </sheetView>
  </sheetViews>
  <sheetFormatPr defaultColWidth="11.421875" defaultRowHeight="12.75"/>
  <cols>
    <col min="1" max="1" width="4.8515625" style="0" bestFit="1" customWidth="1"/>
    <col min="2" max="9" width="5.140625" style="0" bestFit="1" customWidth="1"/>
    <col min="10" max="17" width="4.8515625" style="0" bestFit="1" customWidth="1"/>
    <col min="18" max="27" width="6.140625" style="0" bestFit="1" customWidth="1"/>
  </cols>
  <sheetData>
    <row r="1" spans="1:27" ht="21.75" customHeight="1">
      <c r="A1" s="19" t="s">
        <v>1</v>
      </c>
      <c r="B1" s="176">
        <v>100</v>
      </c>
      <c r="C1" s="176">
        <v>200</v>
      </c>
      <c r="D1" s="176">
        <v>300</v>
      </c>
      <c r="E1" s="176">
        <v>400</v>
      </c>
      <c r="F1" s="176">
        <v>500</v>
      </c>
      <c r="G1" s="176">
        <v>600</v>
      </c>
      <c r="H1" s="176">
        <v>700</v>
      </c>
      <c r="I1" s="176">
        <v>800</v>
      </c>
      <c r="J1" s="177">
        <v>1</v>
      </c>
      <c r="K1" s="177">
        <v>2</v>
      </c>
      <c r="L1" s="177">
        <v>3</v>
      </c>
      <c r="M1" s="177">
        <v>4</v>
      </c>
      <c r="N1" s="177">
        <v>5</v>
      </c>
      <c r="O1" s="177">
        <v>6</v>
      </c>
      <c r="P1" s="177">
        <v>7</v>
      </c>
      <c r="Q1" s="177">
        <v>8</v>
      </c>
      <c r="R1" s="177">
        <v>9</v>
      </c>
      <c r="S1" s="177">
        <v>10</v>
      </c>
      <c r="T1" s="177">
        <v>15</v>
      </c>
      <c r="U1" s="177">
        <v>20</v>
      </c>
      <c r="V1" s="177">
        <v>21.1</v>
      </c>
      <c r="W1" s="177">
        <v>25</v>
      </c>
      <c r="X1" s="177">
        <v>30</v>
      </c>
      <c r="Y1" s="177">
        <v>35</v>
      </c>
      <c r="Z1" s="177">
        <v>40</v>
      </c>
      <c r="AA1" s="177">
        <v>42.195</v>
      </c>
    </row>
    <row r="2" spans="1:27" ht="16.5" customHeight="1">
      <c r="A2" s="20">
        <v>8.4</v>
      </c>
      <c r="B2" s="21">
        <f aca="true" t="shared" si="0" ref="B2:I21">(B$1/1000)/$A2/24</f>
        <v>0.000496031746031746</v>
      </c>
      <c r="C2" s="21">
        <f t="shared" si="0"/>
        <v>0.000992063492063492</v>
      </c>
      <c r="D2" s="21">
        <f t="shared" si="0"/>
        <v>0.001488095238095238</v>
      </c>
      <c r="E2" s="21">
        <f t="shared" si="0"/>
        <v>0.001984126984126984</v>
      </c>
      <c r="F2" s="21">
        <f t="shared" si="0"/>
        <v>0.00248015873015873</v>
      </c>
      <c r="G2" s="21">
        <f t="shared" si="0"/>
        <v>0.002976190476190476</v>
      </c>
      <c r="H2" s="21">
        <f t="shared" si="0"/>
        <v>0.003472222222222222</v>
      </c>
      <c r="I2" s="21">
        <f t="shared" si="0"/>
        <v>0.003968253968253968</v>
      </c>
      <c r="J2" s="21">
        <f aca="true" t="shared" si="1" ref="J2:Y11">(J$1)/$A2/24</f>
        <v>0.00496031746031746</v>
      </c>
      <c r="K2" s="21">
        <f t="shared" si="1"/>
        <v>0.00992063492063492</v>
      </c>
      <c r="L2" s="21">
        <f t="shared" si="1"/>
        <v>0.014880952380952382</v>
      </c>
      <c r="M2" s="21">
        <f t="shared" si="1"/>
        <v>0.01984126984126984</v>
      </c>
      <c r="N2" s="21">
        <f t="shared" si="1"/>
        <v>0.0248015873015873</v>
      </c>
      <c r="O2" s="21">
        <f t="shared" si="1"/>
        <v>0.029761904761904764</v>
      </c>
      <c r="P2" s="21">
        <f t="shared" si="1"/>
        <v>0.03472222222222222</v>
      </c>
      <c r="Q2" s="21">
        <f t="shared" si="1"/>
        <v>0.03968253968253968</v>
      </c>
      <c r="R2" s="22">
        <f t="shared" si="1"/>
        <v>0.044642857142857144</v>
      </c>
      <c r="S2" s="22">
        <f t="shared" si="1"/>
        <v>0.0496031746031746</v>
      </c>
      <c r="T2" s="22">
        <f t="shared" si="1"/>
        <v>0.0744047619047619</v>
      </c>
      <c r="U2" s="22">
        <f t="shared" si="1"/>
        <v>0.0992063492063492</v>
      </c>
      <c r="V2" s="22">
        <f t="shared" si="1"/>
        <v>0.10466269841269842</v>
      </c>
      <c r="W2" s="22">
        <f t="shared" si="1"/>
        <v>0.12400793650793651</v>
      </c>
      <c r="X2" s="22">
        <f t="shared" si="1"/>
        <v>0.1488095238095238</v>
      </c>
      <c r="Y2" s="22">
        <f t="shared" si="1"/>
        <v>0.17361111111111108</v>
      </c>
      <c r="Z2" s="22">
        <f aca="true" t="shared" si="2" ref="Z2:AA17">(Z$1)/$A2/24</f>
        <v>0.1984126984126984</v>
      </c>
      <c r="AA2" s="22">
        <f t="shared" si="2"/>
        <v>0.20930059523809522</v>
      </c>
    </row>
    <row r="3" spans="1:27" ht="16.5" customHeight="1">
      <c r="A3" s="20">
        <v>8.7</v>
      </c>
      <c r="B3" s="21">
        <f t="shared" si="0"/>
        <v>0.0004789272030651342</v>
      </c>
      <c r="C3" s="21">
        <f t="shared" si="0"/>
        <v>0.0009578544061302684</v>
      </c>
      <c r="D3" s="21">
        <f t="shared" si="0"/>
        <v>0.0014367816091954023</v>
      </c>
      <c r="E3" s="21">
        <f t="shared" si="0"/>
        <v>0.0019157088122605367</v>
      </c>
      <c r="F3" s="21">
        <f t="shared" si="0"/>
        <v>0.0023946360153256708</v>
      </c>
      <c r="G3" s="21">
        <f t="shared" si="0"/>
        <v>0.0028735632183908046</v>
      </c>
      <c r="H3" s="21">
        <f t="shared" si="0"/>
        <v>0.003352490421455939</v>
      </c>
      <c r="I3" s="21">
        <f t="shared" si="0"/>
        <v>0.0038314176245210735</v>
      </c>
      <c r="J3" s="21">
        <f t="shared" si="1"/>
        <v>0.0047892720306513415</v>
      </c>
      <c r="K3" s="21">
        <f t="shared" si="1"/>
        <v>0.009578544061302683</v>
      </c>
      <c r="L3" s="21">
        <f t="shared" si="1"/>
        <v>0.014367816091954025</v>
      </c>
      <c r="M3" s="21">
        <f t="shared" si="1"/>
        <v>0.019157088122605366</v>
      </c>
      <c r="N3" s="21">
        <f t="shared" si="1"/>
        <v>0.02394636015325671</v>
      </c>
      <c r="O3" s="21">
        <f t="shared" si="1"/>
        <v>0.02873563218390805</v>
      </c>
      <c r="P3" s="21">
        <f t="shared" si="1"/>
        <v>0.033524904214559385</v>
      </c>
      <c r="Q3" s="21">
        <f t="shared" si="1"/>
        <v>0.03831417624521073</v>
      </c>
      <c r="R3" s="22">
        <f t="shared" si="1"/>
        <v>0.04310344827586207</v>
      </c>
      <c r="S3" s="22">
        <f t="shared" si="1"/>
        <v>0.04789272030651342</v>
      </c>
      <c r="T3" s="22">
        <f t="shared" si="1"/>
        <v>0.07183908045977012</v>
      </c>
      <c r="U3" s="22">
        <f t="shared" si="1"/>
        <v>0.09578544061302684</v>
      </c>
      <c r="V3" s="22">
        <f t="shared" si="1"/>
        <v>0.10105363984674332</v>
      </c>
      <c r="W3" s="22">
        <f t="shared" si="1"/>
        <v>0.11973180076628354</v>
      </c>
      <c r="X3" s="22">
        <f t="shared" si="1"/>
        <v>0.14367816091954025</v>
      </c>
      <c r="Y3" s="22">
        <f t="shared" si="1"/>
        <v>0.16762452107279693</v>
      </c>
      <c r="Z3" s="22">
        <f t="shared" si="2"/>
        <v>0.19157088122605367</v>
      </c>
      <c r="AA3" s="22">
        <f t="shared" si="2"/>
        <v>0.20208333333333336</v>
      </c>
    </row>
    <row r="4" spans="1:27" ht="16.5" customHeight="1">
      <c r="A4" s="20">
        <v>9</v>
      </c>
      <c r="B4" s="21">
        <f t="shared" si="0"/>
        <v>0.000462962962962963</v>
      </c>
      <c r="C4" s="21">
        <f t="shared" si="0"/>
        <v>0.000925925925925926</v>
      </c>
      <c r="D4" s="21">
        <f t="shared" si="0"/>
        <v>0.001388888888888889</v>
      </c>
      <c r="E4" s="21">
        <f t="shared" si="0"/>
        <v>0.001851851851851852</v>
      </c>
      <c r="F4" s="21">
        <f t="shared" si="0"/>
        <v>0.0023148148148148147</v>
      </c>
      <c r="G4" s="21">
        <f t="shared" si="0"/>
        <v>0.002777777777777778</v>
      </c>
      <c r="H4" s="21">
        <f t="shared" si="0"/>
        <v>0.0032407407407407406</v>
      </c>
      <c r="I4" s="21">
        <f t="shared" si="0"/>
        <v>0.003703703703703704</v>
      </c>
      <c r="J4" s="21">
        <f t="shared" si="1"/>
        <v>0.004629629629629629</v>
      </c>
      <c r="K4" s="21">
        <f t="shared" si="1"/>
        <v>0.009259259259259259</v>
      </c>
      <c r="L4" s="21">
        <f t="shared" si="1"/>
        <v>0.013888888888888888</v>
      </c>
      <c r="M4" s="21">
        <f t="shared" si="1"/>
        <v>0.018518518518518517</v>
      </c>
      <c r="N4" s="21">
        <f t="shared" si="1"/>
        <v>0.02314814814814815</v>
      </c>
      <c r="O4" s="21">
        <f t="shared" si="1"/>
        <v>0.027777777777777776</v>
      </c>
      <c r="P4" s="21">
        <f t="shared" si="1"/>
        <v>0.032407407407407406</v>
      </c>
      <c r="Q4" s="21">
        <f t="shared" si="1"/>
        <v>0.037037037037037035</v>
      </c>
      <c r="R4" s="22">
        <f t="shared" si="1"/>
        <v>0.041666666666666664</v>
      </c>
      <c r="S4" s="22">
        <f t="shared" si="1"/>
        <v>0.0462962962962963</v>
      </c>
      <c r="T4" s="22">
        <f t="shared" si="1"/>
        <v>0.06944444444444445</v>
      </c>
      <c r="U4" s="22">
        <f t="shared" si="1"/>
        <v>0.0925925925925926</v>
      </c>
      <c r="V4" s="22">
        <f t="shared" si="1"/>
        <v>0.0976851851851852</v>
      </c>
      <c r="W4" s="22">
        <f t="shared" si="1"/>
        <v>0.11574074074074074</v>
      </c>
      <c r="X4" s="22">
        <f t="shared" si="1"/>
        <v>0.1388888888888889</v>
      </c>
      <c r="Y4" s="22">
        <f t="shared" si="1"/>
        <v>0.16203703703703703</v>
      </c>
      <c r="Z4" s="22">
        <f t="shared" si="2"/>
        <v>0.1851851851851852</v>
      </c>
      <c r="AA4" s="22">
        <f t="shared" si="2"/>
        <v>0.19534722222222223</v>
      </c>
    </row>
    <row r="5" spans="1:27" ht="16.5" customHeight="1">
      <c r="A5" s="20">
        <v>9.3</v>
      </c>
      <c r="B5" s="21">
        <f t="shared" si="0"/>
        <v>0.0004480286738351254</v>
      </c>
      <c r="C5" s="21">
        <f t="shared" si="0"/>
        <v>0.0008960573476702508</v>
      </c>
      <c r="D5" s="21">
        <f t="shared" si="0"/>
        <v>0.0013440860215053762</v>
      </c>
      <c r="E5" s="21">
        <f t="shared" si="0"/>
        <v>0.0017921146953405016</v>
      </c>
      <c r="F5" s="21">
        <f t="shared" si="0"/>
        <v>0.002240143369175627</v>
      </c>
      <c r="G5" s="21">
        <f t="shared" si="0"/>
        <v>0.0026881720430107525</v>
      </c>
      <c r="H5" s="21">
        <f t="shared" si="0"/>
        <v>0.003136200716845878</v>
      </c>
      <c r="I5" s="21">
        <f t="shared" si="0"/>
        <v>0.003584229390681003</v>
      </c>
      <c r="J5" s="21">
        <f t="shared" si="1"/>
        <v>0.004480286738351254</v>
      </c>
      <c r="K5" s="21">
        <f t="shared" si="1"/>
        <v>0.008960573476702509</v>
      </c>
      <c r="L5" s="21">
        <f t="shared" si="1"/>
        <v>0.013440860215053764</v>
      </c>
      <c r="M5" s="21">
        <f t="shared" si="1"/>
        <v>0.017921146953405017</v>
      </c>
      <c r="N5" s="21">
        <f t="shared" si="1"/>
        <v>0.022401433691756272</v>
      </c>
      <c r="O5" s="21">
        <f t="shared" si="1"/>
        <v>0.026881720430107527</v>
      </c>
      <c r="P5" s="21">
        <f t="shared" si="1"/>
        <v>0.03136200716845878</v>
      </c>
      <c r="Q5" s="21">
        <f t="shared" si="1"/>
        <v>0.035842293906810034</v>
      </c>
      <c r="R5" s="22">
        <f t="shared" si="1"/>
        <v>0.04032258064516129</v>
      </c>
      <c r="S5" s="22">
        <f t="shared" si="1"/>
        <v>0.044802867383512544</v>
      </c>
      <c r="T5" s="22">
        <f t="shared" si="1"/>
        <v>0.06720430107526881</v>
      </c>
      <c r="U5" s="22">
        <f t="shared" si="1"/>
        <v>0.08960573476702509</v>
      </c>
      <c r="V5" s="22">
        <f t="shared" si="1"/>
        <v>0.09453405017921146</v>
      </c>
      <c r="W5" s="22">
        <f t="shared" si="1"/>
        <v>0.11200716845878135</v>
      </c>
      <c r="X5" s="22">
        <f t="shared" si="1"/>
        <v>0.13440860215053763</v>
      </c>
      <c r="Y5" s="22">
        <f t="shared" si="1"/>
        <v>0.1568100358422939</v>
      </c>
      <c r="Z5" s="22">
        <f t="shared" si="2"/>
        <v>0.17921146953405018</v>
      </c>
      <c r="AA5" s="22">
        <f t="shared" si="2"/>
        <v>0.1890456989247312</v>
      </c>
    </row>
    <row r="6" spans="1:27" ht="16.5" customHeight="1">
      <c r="A6" s="20">
        <v>9.6</v>
      </c>
      <c r="B6" s="21">
        <f t="shared" si="0"/>
        <v>0.0004340277777777778</v>
      </c>
      <c r="C6" s="21">
        <f t="shared" si="0"/>
        <v>0.0008680555555555556</v>
      </c>
      <c r="D6" s="21">
        <f t="shared" si="0"/>
        <v>0.0013020833333333333</v>
      </c>
      <c r="E6" s="21">
        <f t="shared" si="0"/>
        <v>0.0017361111111111112</v>
      </c>
      <c r="F6" s="21">
        <f t="shared" si="0"/>
        <v>0.002170138888888889</v>
      </c>
      <c r="G6" s="21">
        <f t="shared" si="0"/>
        <v>0.0026041666666666665</v>
      </c>
      <c r="H6" s="21">
        <f t="shared" si="0"/>
        <v>0.0030381944444444445</v>
      </c>
      <c r="I6" s="21">
        <f t="shared" si="0"/>
        <v>0.0034722222222222225</v>
      </c>
      <c r="J6" s="21">
        <f t="shared" si="1"/>
        <v>0.004340277777777778</v>
      </c>
      <c r="K6" s="21">
        <f t="shared" si="1"/>
        <v>0.008680555555555556</v>
      </c>
      <c r="L6" s="21">
        <f t="shared" si="1"/>
        <v>0.013020833333333334</v>
      </c>
      <c r="M6" s="21">
        <f t="shared" si="1"/>
        <v>0.017361111111111112</v>
      </c>
      <c r="N6" s="21">
        <f t="shared" si="1"/>
        <v>0.02170138888888889</v>
      </c>
      <c r="O6" s="21">
        <f t="shared" si="1"/>
        <v>0.026041666666666668</v>
      </c>
      <c r="P6" s="21">
        <f t="shared" si="1"/>
        <v>0.030381944444444448</v>
      </c>
      <c r="Q6" s="21">
        <f t="shared" si="1"/>
        <v>0.034722222222222224</v>
      </c>
      <c r="R6" s="22">
        <f t="shared" si="1"/>
        <v>0.0390625</v>
      </c>
      <c r="S6" s="22">
        <f t="shared" si="1"/>
        <v>0.04340277777777778</v>
      </c>
      <c r="T6" s="22">
        <f t="shared" si="1"/>
        <v>0.06510416666666667</v>
      </c>
      <c r="U6" s="22">
        <f t="shared" si="1"/>
        <v>0.08680555555555557</v>
      </c>
      <c r="V6" s="22">
        <f t="shared" si="1"/>
        <v>0.09157986111111112</v>
      </c>
      <c r="W6" s="22">
        <f t="shared" si="1"/>
        <v>0.10850694444444446</v>
      </c>
      <c r="X6" s="22">
        <f t="shared" si="1"/>
        <v>0.13020833333333334</v>
      </c>
      <c r="Y6" s="22">
        <f t="shared" si="1"/>
        <v>0.15190972222222224</v>
      </c>
      <c r="Z6" s="22">
        <f t="shared" si="2"/>
        <v>0.17361111111111113</v>
      </c>
      <c r="AA6" s="22">
        <f t="shared" si="2"/>
        <v>0.18313802083333333</v>
      </c>
    </row>
    <row r="7" spans="1:27" ht="16.5" customHeight="1">
      <c r="A7" s="20">
        <v>9.89999999999999</v>
      </c>
      <c r="B7" s="21">
        <f t="shared" si="0"/>
        <v>0.00042087542087542134</v>
      </c>
      <c r="C7" s="21">
        <f t="shared" si="0"/>
        <v>0.0008417508417508427</v>
      </c>
      <c r="D7" s="21">
        <f t="shared" si="0"/>
        <v>0.001262626262626264</v>
      </c>
      <c r="E7" s="21">
        <f t="shared" si="0"/>
        <v>0.0016835016835016854</v>
      </c>
      <c r="F7" s="21">
        <f t="shared" si="0"/>
        <v>0.0021043771043771065</v>
      </c>
      <c r="G7" s="21">
        <f t="shared" si="0"/>
        <v>0.002525252525252528</v>
      </c>
      <c r="H7" s="21">
        <f t="shared" si="0"/>
        <v>0.0029461279461279488</v>
      </c>
      <c r="I7" s="21">
        <f t="shared" si="0"/>
        <v>0.0033670033670033708</v>
      </c>
      <c r="J7" s="21">
        <f t="shared" si="1"/>
        <v>0.004208754208754213</v>
      </c>
      <c r="K7" s="21">
        <f t="shared" si="1"/>
        <v>0.008417508417508426</v>
      </c>
      <c r="L7" s="21">
        <f t="shared" si="1"/>
        <v>0.01262626262626264</v>
      </c>
      <c r="M7" s="21">
        <f t="shared" si="1"/>
        <v>0.016835016835016852</v>
      </c>
      <c r="N7" s="21">
        <f t="shared" si="1"/>
        <v>0.021043771043771062</v>
      </c>
      <c r="O7" s="21">
        <f t="shared" si="1"/>
        <v>0.02525252525252528</v>
      </c>
      <c r="P7" s="21">
        <f t="shared" si="1"/>
        <v>0.029461279461279494</v>
      </c>
      <c r="Q7" s="21">
        <f t="shared" si="1"/>
        <v>0.033670033670033704</v>
      </c>
      <c r="R7" s="22">
        <f t="shared" si="1"/>
        <v>0.03787878787878792</v>
      </c>
      <c r="S7" s="22">
        <f t="shared" si="1"/>
        <v>0.042087542087542125</v>
      </c>
      <c r="T7" s="22">
        <f t="shared" si="1"/>
        <v>0.06313131313131319</v>
      </c>
      <c r="U7" s="22">
        <f t="shared" si="1"/>
        <v>0.08417508417508425</v>
      </c>
      <c r="V7" s="22">
        <f t="shared" si="1"/>
        <v>0.0888047138047139</v>
      </c>
      <c r="W7" s="22">
        <f t="shared" si="1"/>
        <v>0.10521885521885532</v>
      </c>
      <c r="X7" s="22">
        <f t="shared" si="1"/>
        <v>0.12626262626262638</v>
      </c>
      <c r="Y7" s="22">
        <f t="shared" si="1"/>
        <v>0.14730639730639747</v>
      </c>
      <c r="Z7" s="22">
        <f t="shared" si="2"/>
        <v>0.1683501683501685</v>
      </c>
      <c r="AA7" s="22">
        <f t="shared" si="2"/>
        <v>0.17758838383838402</v>
      </c>
    </row>
    <row r="8" spans="1:27" ht="16.5" customHeight="1">
      <c r="A8" s="20">
        <v>10</v>
      </c>
      <c r="B8" s="21">
        <f t="shared" si="0"/>
        <v>0.0004166666666666667</v>
      </c>
      <c r="C8" s="21">
        <f t="shared" si="0"/>
        <v>0.0008333333333333334</v>
      </c>
      <c r="D8" s="21">
        <f t="shared" si="0"/>
        <v>0.00125</v>
      </c>
      <c r="E8" s="21">
        <f t="shared" si="0"/>
        <v>0.0016666666666666668</v>
      </c>
      <c r="F8" s="21">
        <f t="shared" si="0"/>
        <v>0.0020833333333333333</v>
      </c>
      <c r="G8" s="21">
        <f t="shared" si="0"/>
        <v>0.0025</v>
      </c>
      <c r="H8" s="21">
        <f t="shared" si="0"/>
        <v>0.0029166666666666664</v>
      </c>
      <c r="I8" s="21">
        <f t="shared" si="0"/>
        <v>0.0033333333333333335</v>
      </c>
      <c r="J8" s="21">
        <f t="shared" si="1"/>
        <v>0.004166666666666667</v>
      </c>
      <c r="K8" s="21">
        <f t="shared" si="1"/>
        <v>0.008333333333333333</v>
      </c>
      <c r="L8" s="21">
        <f t="shared" si="1"/>
        <v>0.012499999999999999</v>
      </c>
      <c r="M8" s="21">
        <f t="shared" si="1"/>
        <v>0.016666666666666666</v>
      </c>
      <c r="N8" s="21">
        <f t="shared" si="1"/>
        <v>0.020833333333333332</v>
      </c>
      <c r="O8" s="21">
        <f t="shared" si="1"/>
        <v>0.024999999999999998</v>
      </c>
      <c r="P8" s="21">
        <f t="shared" si="1"/>
        <v>0.029166666666666664</v>
      </c>
      <c r="Q8" s="21">
        <f t="shared" si="1"/>
        <v>0.03333333333333333</v>
      </c>
      <c r="R8" s="22">
        <f t="shared" si="1"/>
        <v>0.0375</v>
      </c>
      <c r="S8" s="22">
        <f t="shared" si="1"/>
        <v>0.041666666666666664</v>
      </c>
      <c r="T8" s="22">
        <f t="shared" si="1"/>
        <v>0.0625</v>
      </c>
      <c r="U8" s="22">
        <f t="shared" si="1"/>
        <v>0.08333333333333333</v>
      </c>
      <c r="V8" s="22">
        <f t="shared" si="1"/>
        <v>0.08791666666666668</v>
      </c>
      <c r="W8" s="22">
        <f t="shared" si="1"/>
        <v>0.10416666666666667</v>
      </c>
      <c r="X8" s="22">
        <f t="shared" si="1"/>
        <v>0.125</v>
      </c>
      <c r="Y8" s="22">
        <f t="shared" si="1"/>
        <v>0.14583333333333334</v>
      </c>
      <c r="Z8" s="22">
        <f t="shared" si="2"/>
        <v>0.16666666666666666</v>
      </c>
      <c r="AA8" s="22">
        <f t="shared" si="2"/>
        <v>0.1758125</v>
      </c>
    </row>
    <row r="9" spans="1:27" ht="16.5" customHeight="1">
      <c r="A9" s="20">
        <v>10.15</v>
      </c>
      <c r="B9" s="21">
        <f t="shared" si="0"/>
        <v>0.00041050903119868636</v>
      </c>
      <c r="C9" s="21">
        <f t="shared" si="0"/>
        <v>0.0008210180623973727</v>
      </c>
      <c r="D9" s="21">
        <f t="shared" si="0"/>
        <v>0.0012315270935960591</v>
      </c>
      <c r="E9" s="21">
        <f t="shared" si="0"/>
        <v>0.0016420361247947454</v>
      </c>
      <c r="F9" s="21">
        <f t="shared" si="0"/>
        <v>0.0020525451559934315</v>
      </c>
      <c r="G9" s="21">
        <f t="shared" si="0"/>
        <v>0.0024630541871921183</v>
      </c>
      <c r="H9" s="21">
        <f t="shared" si="0"/>
        <v>0.0028735632183908046</v>
      </c>
      <c r="I9" s="21">
        <f t="shared" si="0"/>
        <v>0.003284072249589491</v>
      </c>
      <c r="J9" s="21">
        <f t="shared" si="1"/>
        <v>0.004105090311986863</v>
      </c>
      <c r="K9" s="21">
        <f t="shared" si="1"/>
        <v>0.008210180623973726</v>
      </c>
      <c r="L9" s="21">
        <f t="shared" si="1"/>
        <v>0.01231527093596059</v>
      </c>
      <c r="M9" s="21">
        <f t="shared" si="1"/>
        <v>0.016420361247947452</v>
      </c>
      <c r="N9" s="21">
        <f t="shared" si="1"/>
        <v>0.020525451559934318</v>
      </c>
      <c r="O9" s="21">
        <f t="shared" si="1"/>
        <v>0.02463054187192118</v>
      </c>
      <c r="P9" s="21">
        <f t="shared" si="1"/>
        <v>0.028735632183908042</v>
      </c>
      <c r="Q9" s="21">
        <f t="shared" si="1"/>
        <v>0.032840722495894904</v>
      </c>
      <c r="R9" s="22">
        <f t="shared" si="1"/>
        <v>0.03694581280788177</v>
      </c>
      <c r="S9" s="22">
        <f t="shared" si="1"/>
        <v>0.041050903119868636</v>
      </c>
      <c r="T9" s="22">
        <f t="shared" si="1"/>
        <v>0.06157635467980296</v>
      </c>
      <c r="U9" s="22">
        <f t="shared" si="1"/>
        <v>0.08210180623973727</v>
      </c>
      <c r="V9" s="22">
        <f t="shared" si="1"/>
        <v>0.08661740558292282</v>
      </c>
      <c r="W9" s="22">
        <f t="shared" si="1"/>
        <v>0.10262725779967159</v>
      </c>
      <c r="X9" s="22">
        <f t="shared" si="1"/>
        <v>0.12315270935960591</v>
      </c>
      <c r="Y9" s="22">
        <f t="shared" si="1"/>
        <v>0.14367816091954022</v>
      </c>
      <c r="Z9" s="22">
        <f t="shared" si="2"/>
        <v>0.16420361247947454</v>
      </c>
      <c r="AA9" s="22">
        <f t="shared" si="2"/>
        <v>0.17321428571428568</v>
      </c>
    </row>
    <row r="10" spans="1:27" ht="16.5" customHeight="1">
      <c r="A10" s="20">
        <v>10.8</v>
      </c>
      <c r="B10" s="21">
        <f t="shared" si="0"/>
        <v>0.00038580246913580245</v>
      </c>
      <c r="C10" s="21">
        <f t="shared" si="0"/>
        <v>0.0007716049382716049</v>
      </c>
      <c r="D10" s="21">
        <f t="shared" si="0"/>
        <v>0.0011574074074074073</v>
      </c>
      <c r="E10" s="21">
        <f t="shared" si="0"/>
        <v>0.0015432098765432098</v>
      </c>
      <c r="F10" s="21">
        <f t="shared" si="0"/>
        <v>0.0019290123456790122</v>
      </c>
      <c r="G10" s="21">
        <f t="shared" si="0"/>
        <v>0.0023148148148148147</v>
      </c>
      <c r="H10" s="21">
        <f t="shared" si="0"/>
        <v>0.002700617283950617</v>
      </c>
      <c r="I10" s="21">
        <f t="shared" si="0"/>
        <v>0.0030864197530864196</v>
      </c>
      <c r="J10" s="21">
        <f t="shared" si="1"/>
        <v>0.0038580246913580245</v>
      </c>
      <c r="K10" s="21">
        <f t="shared" si="1"/>
        <v>0.007716049382716049</v>
      </c>
      <c r="L10" s="21">
        <f t="shared" si="1"/>
        <v>0.011574074074074072</v>
      </c>
      <c r="M10" s="21">
        <f t="shared" si="1"/>
        <v>0.015432098765432098</v>
      </c>
      <c r="N10" s="21">
        <f t="shared" si="1"/>
        <v>0.019290123456790122</v>
      </c>
      <c r="O10" s="21">
        <f t="shared" si="1"/>
        <v>0.023148148148148143</v>
      </c>
      <c r="P10" s="21">
        <f t="shared" si="1"/>
        <v>0.02700617283950617</v>
      </c>
      <c r="Q10" s="21">
        <f t="shared" si="1"/>
        <v>0.030864197530864196</v>
      </c>
      <c r="R10" s="22">
        <f t="shared" si="1"/>
        <v>0.03472222222222222</v>
      </c>
      <c r="S10" s="22">
        <f t="shared" si="1"/>
        <v>0.038580246913580245</v>
      </c>
      <c r="T10" s="22">
        <f t="shared" si="1"/>
        <v>0.05787037037037037</v>
      </c>
      <c r="U10" s="22">
        <f t="shared" si="1"/>
        <v>0.07716049382716049</v>
      </c>
      <c r="V10" s="22">
        <f t="shared" si="1"/>
        <v>0.08140432098765432</v>
      </c>
      <c r="W10" s="22">
        <f t="shared" si="1"/>
        <v>0.09645061728395062</v>
      </c>
      <c r="X10" s="22">
        <f t="shared" si="1"/>
        <v>0.11574074074074074</v>
      </c>
      <c r="Y10" s="22">
        <f t="shared" si="1"/>
        <v>0.13503086419753085</v>
      </c>
      <c r="Z10" s="22">
        <f t="shared" si="2"/>
        <v>0.15432098765432098</v>
      </c>
      <c r="AA10" s="22">
        <f t="shared" si="2"/>
        <v>0.16278935185185184</v>
      </c>
    </row>
    <row r="11" spans="1:27" ht="16.5" customHeight="1">
      <c r="A11" s="20">
        <v>11.1</v>
      </c>
      <c r="B11" s="21">
        <f t="shared" si="0"/>
        <v>0.00037537537537537537</v>
      </c>
      <c r="C11" s="21">
        <f t="shared" si="0"/>
        <v>0.0007507507507507507</v>
      </c>
      <c r="D11" s="21">
        <f t="shared" si="0"/>
        <v>0.0011261261261261261</v>
      </c>
      <c r="E11" s="21">
        <f t="shared" si="0"/>
        <v>0.0015015015015015015</v>
      </c>
      <c r="F11" s="21">
        <f t="shared" si="0"/>
        <v>0.001876876876876877</v>
      </c>
      <c r="G11" s="21">
        <f t="shared" si="0"/>
        <v>0.0022522522522522522</v>
      </c>
      <c r="H11" s="21">
        <f t="shared" si="0"/>
        <v>0.0026276276276276274</v>
      </c>
      <c r="I11" s="21">
        <f t="shared" si="0"/>
        <v>0.003003003003003003</v>
      </c>
      <c r="J11" s="21">
        <f t="shared" si="1"/>
        <v>0.003753753753753754</v>
      </c>
      <c r="K11" s="21">
        <f t="shared" si="1"/>
        <v>0.007507507507507508</v>
      </c>
      <c r="L11" s="21">
        <f t="shared" si="1"/>
        <v>0.011261261261261262</v>
      </c>
      <c r="M11" s="21">
        <f t="shared" si="1"/>
        <v>0.015015015015015017</v>
      </c>
      <c r="N11" s="21">
        <f t="shared" si="1"/>
        <v>0.01876876876876877</v>
      </c>
      <c r="O11" s="21">
        <f t="shared" si="1"/>
        <v>0.022522522522522525</v>
      </c>
      <c r="P11" s="21">
        <f t="shared" si="1"/>
        <v>0.026276276276276277</v>
      </c>
      <c r="Q11" s="21">
        <f t="shared" si="1"/>
        <v>0.030030030030030033</v>
      </c>
      <c r="R11" s="22">
        <f t="shared" si="1"/>
        <v>0.033783783783783786</v>
      </c>
      <c r="S11" s="22">
        <f t="shared" si="1"/>
        <v>0.03753753753753754</v>
      </c>
      <c r="T11" s="22">
        <f t="shared" si="1"/>
        <v>0.05630630630630631</v>
      </c>
      <c r="U11" s="22">
        <f t="shared" si="1"/>
        <v>0.07507507507507508</v>
      </c>
      <c r="V11" s="22">
        <f t="shared" si="1"/>
        <v>0.07920420420420421</v>
      </c>
      <c r="W11" s="22">
        <f t="shared" si="1"/>
        <v>0.09384384384384385</v>
      </c>
      <c r="X11" s="22">
        <f t="shared" si="1"/>
        <v>0.11261261261261261</v>
      </c>
      <c r="Y11" s="22">
        <f t="shared" si="1"/>
        <v>0.1313813813813814</v>
      </c>
      <c r="Z11" s="22">
        <f t="shared" si="2"/>
        <v>0.15015015015015015</v>
      </c>
      <c r="AA11" s="22">
        <f t="shared" si="2"/>
        <v>0.15838963963963965</v>
      </c>
    </row>
    <row r="12" spans="1:27" ht="16.5" customHeight="1">
      <c r="A12" s="20">
        <v>11.4</v>
      </c>
      <c r="B12" s="21">
        <f t="shared" si="0"/>
        <v>0.0003654970760233918</v>
      </c>
      <c r="C12" s="21">
        <f t="shared" si="0"/>
        <v>0.0007309941520467836</v>
      </c>
      <c r="D12" s="21">
        <f t="shared" si="0"/>
        <v>0.0010964912280701754</v>
      </c>
      <c r="E12" s="21">
        <f t="shared" si="0"/>
        <v>0.0014619883040935672</v>
      </c>
      <c r="F12" s="21">
        <f t="shared" si="0"/>
        <v>0.001827485380116959</v>
      </c>
      <c r="G12" s="21">
        <f t="shared" si="0"/>
        <v>0.0021929824561403508</v>
      </c>
      <c r="H12" s="21">
        <f t="shared" si="0"/>
        <v>0.0025584795321637425</v>
      </c>
      <c r="I12" s="21">
        <f t="shared" si="0"/>
        <v>0.0029239766081871343</v>
      </c>
      <c r="J12" s="21">
        <f aca="true" t="shared" si="3" ref="J12:Y17">(J$1)/$A12/24</f>
        <v>0.003654970760233918</v>
      </c>
      <c r="K12" s="21">
        <f t="shared" si="3"/>
        <v>0.007309941520467836</v>
      </c>
      <c r="L12" s="21">
        <f t="shared" si="3"/>
        <v>0.010964912280701754</v>
      </c>
      <c r="M12" s="21">
        <f t="shared" si="3"/>
        <v>0.014619883040935672</v>
      </c>
      <c r="N12" s="21">
        <f t="shared" si="3"/>
        <v>0.01827485380116959</v>
      </c>
      <c r="O12" s="21">
        <f t="shared" si="3"/>
        <v>0.021929824561403508</v>
      </c>
      <c r="P12" s="21">
        <f t="shared" si="3"/>
        <v>0.02558479532163743</v>
      </c>
      <c r="Q12" s="21">
        <f t="shared" si="3"/>
        <v>0.029239766081871343</v>
      </c>
      <c r="R12" s="22">
        <f t="shared" si="3"/>
        <v>0.03289473684210526</v>
      </c>
      <c r="S12" s="22">
        <f t="shared" si="3"/>
        <v>0.03654970760233918</v>
      </c>
      <c r="T12" s="22">
        <f t="shared" si="3"/>
        <v>0.05482456140350877</v>
      </c>
      <c r="U12" s="22">
        <f t="shared" si="3"/>
        <v>0.07309941520467836</v>
      </c>
      <c r="V12" s="22">
        <f t="shared" si="3"/>
        <v>0.07711988304093567</v>
      </c>
      <c r="W12" s="22">
        <f t="shared" si="3"/>
        <v>0.09137426900584794</v>
      </c>
      <c r="X12" s="22">
        <f t="shared" si="3"/>
        <v>0.10964912280701754</v>
      </c>
      <c r="Y12" s="22">
        <f t="shared" si="3"/>
        <v>0.12792397660818713</v>
      </c>
      <c r="Z12" s="22">
        <f t="shared" si="2"/>
        <v>0.14619883040935672</v>
      </c>
      <c r="AA12" s="22">
        <f t="shared" si="2"/>
        <v>0.1542214912280702</v>
      </c>
    </row>
    <row r="13" spans="1:27" s="2" customFormat="1" ht="16.5" customHeight="1">
      <c r="A13" s="20">
        <v>11.7</v>
      </c>
      <c r="B13" s="21">
        <f t="shared" si="0"/>
        <v>0.00035612535612535614</v>
      </c>
      <c r="C13" s="21">
        <f t="shared" si="0"/>
        <v>0.0007122507122507123</v>
      </c>
      <c r="D13" s="21">
        <f t="shared" si="0"/>
        <v>0.0010683760683760683</v>
      </c>
      <c r="E13" s="21">
        <f t="shared" si="0"/>
        <v>0.0014245014245014246</v>
      </c>
      <c r="F13" s="21">
        <f t="shared" si="0"/>
        <v>0.0017806267806267807</v>
      </c>
      <c r="G13" s="21">
        <f t="shared" si="0"/>
        <v>0.0021367521367521365</v>
      </c>
      <c r="H13" s="21">
        <f t="shared" si="0"/>
        <v>0.002492877492877493</v>
      </c>
      <c r="I13" s="21">
        <f t="shared" si="0"/>
        <v>0.002849002849002849</v>
      </c>
      <c r="J13" s="21">
        <f t="shared" si="3"/>
        <v>0.0035612535612535613</v>
      </c>
      <c r="K13" s="21">
        <f t="shared" si="3"/>
        <v>0.007122507122507123</v>
      </c>
      <c r="L13" s="21">
        <f t="shared" si="3"/>
        <v>0.010683760683760686</v>
      </c>
      <c r="M13" s="21">
        <f t="shared" si="3"/>
        <v>0.014245014245014245</v>
      </c>
      <c r="N13" s="21">
        <f t="shared" si="3"/>
        <v>0.017806267806267807</v>
      </c>
      <c r="O13" s="21">
        <f t="shared" si="3"/>
        <v>0.02136752136752137</v>
      </c>
      <c r="P13" s="21">
        <f t="shared" si="3"/>
        <v>0.02492877492877493</v>
      </c>
      <c r="Q13" s="21">
        <f t="shared" si="3"/>
        <v>0.02849002849002849</v>
      </c>
      <c r="R13" s="22">
        <f t="shared" si="3"/>
        <v>0.032051282051282055</v>
      </c>
      <c r="S13" s="22">
        <f t="shared" si="3"/>
        <v>0.03561253561253561</v>
      </c>
      <c r="T13" s="22">
        <f t="shared" si="3"/>
        <v>0.05341880341880342</v>
      </c>
      <c r="U13" s="22">
        <f t="shared" si="3"/>
        <v>0.07122507122507123</v>
      </c>
      <c r="V13" s="22">
        <f t="shared" si="3"/>
        <v>0.07514245014245015</v>
      </c>
      <c r="W13" s="22">
        <f t="shared" si="3"/>
        <v>0.08903133903133903</v>
      </c>
      <c r="X13" s="22">
        <f t="shared" si="3"/>
        <v>0.10683760683760685</v>
      </c>
      <c r="Y13" s="22">
        <f t="shared" si="3"/>
        <v>0.12464387464387465</v>
      </c>
      <c r="Z13" s="22">
        <f t="shared" si="2"/>
        <v>0.14245014245014245</v>
      </c>
      <c r="AA13" s="22">
        <f t="shared" si="2"/>
        <v>0.150267094017094</v>
      </c>
    </row>
    <row r="14" spans="1:27" ht="16.5" customHeight="1">
      <c r="A14" s="20">
        <v>12</v>
      </c>
      <c r="B14" s="21">
        <f t="shared" si="0"/>
        <v>0.00034722222222222224</v>
      </c>
      <c r="C14" s="21">
        <f t="shared" si="0"/>
        <v>0.0006944444444444445</v>
      </c>
      <c r="D14" s="21">
        <f t="shared" si="0"/>
        <v>0.0010416666666666667</v>
      </c>
      <c r="E14" s="21">
        <f t="shared" si="0"/>
        <v>0.001388888888888889</v>
      </c>
      <c r="F14" s="21">
        <f t="shared" si="0"/>
        <v>0.001736111111111111</v>
      </c>
      <c r="G14" s="21">
        <f t="shared" si="0"/>
        <v>0.0020833333333333333</v>
      </c>
      <c r="H14" s="21">
        <f t="shared" si="0"/>
        <v>0.002430555555555555</v>
      </c>
      <c r="I14" s="21">
        <f t="shared" si="0"/>
        <v>0.002777777777777778</v>
      </c>
      <c r="J14" s="21">
        <f t="shared" si="3"/>
        <v>0.003472222222222222</v>
      </c>
      <c r="K14" s="21">
        <f t="shared" si="3"/>
        <v>0.006944444444444444</v>
      </c>
      <c r="L14" s="21">
        <f t="shared" si="3"/>
        <v>0.010416666666666666</v>
      </c>
      <c r="M14" s="21">
        <f t="shared" si="3"/>
        <v>0.013888888888888888</v>
      </c>
      <c r="N14" s="21">
        <f t="shared" si="3"/>
        <v>0.017361111111111112</v>
      </c>
      <c r="O14" s="21">
        <f t="shared" si="3"/>
        <v>0.020833333333333332</v>
      </c>
      <c r="P14" s="21">
        <f t="shared" si="3"/>
        <v>0.024305555555555556</v>
      </c>
      <c r="Q14" s="21">
        <f t="shared" si="3"/>
        <v>0.027777777777777776</v>
      </c>
      <c r="R14" s="22">
        <f t="shared" si="3"/>
        <v>0.03125</v>
      </c>
      <c r="S14" s="22">
        <f t="shared" si="3"/>
        <v>0.034722222222222224</v>
      </c>
      <c r="T14" s="22">
        <f t="shared" si="3"/>
        <v>0.052083333333333336</v>
      </c>
      <c r="U14" s="22">
        <f t="shared" si="3"/>
        <v>0.06944444444444445</v>
      </c>
      <c r="V14" s="22">
        <f t="shared" si="3"/>
        <v>0.07326388888888889</v>
      </c>
      <c r="W14" s="22">
        <f t="shared" si="3"/>
        <v>0.08680555555555557</v>
      </c>
      <c r="X14" s="22">
        <f t="shared" si="3"/>
        <v>0.10416666666666667</v>
      </c>
      <c r="Y14" s="22">
        <f t="shared" si="3"/>
        <v>0.12152777777777778</v>
      </c>
      <c r="Z14" s="22">
        <f t="shared" si="2"/>
        <v>0.1388888888888889</v>
      </c>
      <c r="AA14" s="22">
        <f t="shared" si="2"/>
        <v>0.14651041666666667</v>
      </c>
    </row>
    <row r="15" spans="1:27" ht="16.5" customHeight="1">
      <c r="A15" s="20">
        <v>12.3</v>
      </c>
      <c r="B15" s="21">
        <f t="shared" si="0"/>
        <v>0.0003387533875338753</v>
      </c>
      <c r="C15" s="21">
        <f t="shared" si="0"/>
        <v>0.0006775067750677506</v>
      </c>
      <c r="D15" s="21">
        <f t="shared" si="0"/>
        <v>0.001016260162601626</v>
      </c>
      <c r="E15" s="21">
        <f t="shared" si="0"/>
        <v>0.0013550135501355011</v>
      </c>
      <c r="F15" s="21">
        <f t="shared" si="0"/>
        <v>0.0016937669376693766</v>
      </c>
      <c r="G15" s="21">
        <f t="shared" si="0"/>
        <v>0.002032520325203252</v>
      </c>
      <c r="H15" s="21">
        <f t="shared" si="0"/>
        <v>0.002371273712737127</v>
      </c>
      <c r="I15" s="21">
        <f t="shared" si="0"/>
        <v>0.0027100271002710023</v>
      </c>
      <c r="J15" s="21">
        <f t="shared" si="3"/>
        <v>0.003387533875338753</v>
      </c>
      <c r="K15" s="21">
        <f t="shared" si="3"/>
        <v>0.006775067750677506</v>
      </c>
      <c r="L15" s="21">
        <f t="shared" si="3"/>
        <v>0.01016260162601626</v>
      </c>
      <c r="M15" s="21">
        <f t="shared" si="3"/>
        <v>0.013550135501355013</v>
      </c>
      <c r="N15" s="21">
        <f t="shared" si="3"/>
        <v>0.016937669376693765</v>
      </c>
      <c r="O15" s="21">
        <f t="shared" si="3"/>
        <v>0.02032520325203252</v>
      </c>
      <c r="P15" s="21">
        <f t="shared" si="3"/>
        <v>0.023712737127371274</v>
      </c>
      <c r="Q15" s="21">
        <f t="shared" si="3"/>
        <v>0.027100271002710025</v>
      </c>
      <c r="R15" s="22">
        <f t="shared" si="3"/>
        <v>0.03048780487804878</v>
      </c>
      <c r="S15" s="22">
        <f t="shared" si="3"/>
        <v>0.03387533875338753</v>
      </c>
      <c r="T15" s="22">
        <f t="shared" si="3"/>
        <v>0.0508130081300813</v>
      </c>
      <c r="U15" s="22">
        <f t="shared" si="3"/>
        <v>0.06775067750677506</v>
      </c>
      <c r="V15" s="22">
        <f t="shared" si="3"/>
        <v>0.0714769647696477</v>
      </c>
      <c r="W15" s="22">
        <f t="shared" si="3"/>
        <v>0.08468834688346882</v>
      </c>
      <c r="X15" s="22">
        <f t="shared" si="3"/>
        <v>0.1016260162601626</v>
      </c>
      <c r="Y15" s="22">
        <f t="shared" si="3"/>
        <v>0.11856368563685636</v>
      </c>
      <c r="Z15" s="22">
        <f t="shared" si="2"/>
        <v>0.13550135501355012</v>
      </c>
      <c r="AA15" s="22">
        <f t="shared" si="2"/>
        <v>0.14293699186991868</v>
      </c>
    </row>
    <row r="16" spans="1:27" ht="16.5" customHeight="1">
      <c r="A16" s="20">
        <v>12.6</v>
      </c>
      <c r="B16" s="21">
        <f t="shared" si="0"/>
        <v>0.0003306878306878307</v>
      </c>
      <c r="C16" s="21">
        <f t="shared" si="0"/>
        <v>0.0006613756613756614</v>
      </c>
      <c r="D16" s="21">
        <f t="shared" si="0"/>
        <v>0.000992063492063492</v>
      </c>
      <c r="E16" s="21">
        <f t="shared" si="0"/>
        <v>0.001322751322751323</v>
      </c>
      <c r="F16" s="21">
        <f t="shared" si="0"/>
        <v>0.0016534391534391533</v>
      </c>
      <c r="G16" s="21">
        <f t="shared" si="0"/>
        <v>0.001984126984126984</v>
      </c>
      <c r="H16" s="21">
        <f t="shared" si="0"/>
        <v>0.0023148148148148147</v>
      </c>
      <c r="I16" s="21">
        <f t="shared" si="0"/>
        <v>0.002645502645502646</v>
      </c>
      <c r="J16" s="21">
        <f t="shared" si="3"/>
        <v>0.0033068783068783067</v>
      </c>
      <c r="K16" s="21">
        <f t="shared" si="3"/>
        <v>0.006613756613756613</v>
      </c>
      <c r="L16" s="21">
        <f t="shared" si="3"/>
        <v>0.009920634920634922</v>
      </c>
      <c r="M16" s="21">
        <f t="shared" si="3"/>
        <v>0.013227513227513227</v>
      </c>
      <c r="N16" s="21">
        <f t="shared" si="3"/>
        <v>0.016534391534391537</v>
      </c>
      <c r="O16" s="21">
        <f t="shared" si="3"/>
        <v>0.019841269841269844</v>
      </c>
      <c r="P16" s="21">
        <f t="shared" si="3"/>
        <v>0.02314814814814815</v>
      </c>
      <c r="Q16" s="21">
        <f t="shared" si="3"/>
        <v>0.026455026455026454</v>
      </c>
      <c r="R16" s="22">
        <f t="shared" si="3"/>
        <v>0.029761904761904764</v>
      </c>
      <c r="S16" s="22">
        <f t="shared" si="3"/>
        <v>0.033068783068783074</v>
      </c>
      <c r="T16" s="22">
        <f t="shared" si="3"/>
        <v>0.0496031746031746</v>
      </c>
      <c r="U16" s="22">
        <f t="shared" si="3"/>
        <v>0.06613756613756615</v>
      </c>
      <c r="V16" s="22">
        <f t="shared" si="3"/>
        <v>0.06977513227513228</v>
      </c>
      <c r="W16" s="22">
        <f t="shared" si="3"/>
        <v>0.08267195767195767</v>
      </c>
      <c r="X16" s="22">
        <f t="shared" si="3"/>
        <v>0.0992063492063492</v>
      </c>
      <c r="Y16" s="22">
        <f t="shared" si="3"/>
        <v>0.11574074074074074</v>
      </c>
      <c r="Z16" s="22">
        <f t="shared" si="2"/>
        <v>0.1322751322751323</v>
      </c>
      <c r="AA16" s="22">
        <f t="shared" si="2"/>
        <v>0.13953373015873016</v>
      </c>
    </row>
    <row r="17" spans="1:27" ht="16.5" customHeight="1">
      <c r="A17" s="20">
        <v>12.9</v>
      </c>
      <c r="B17" s="21">
        <f t="shared" si="0"/>
        <v>0.00032299741602067185</v>
      </c>
      <c r="C17" s="21">
        <f t="shared" si="0"/>
        <v>0.0006459948320413437</v>
      </c>
      <c r="D17" s="21">
        <f t="shared" si="0"/>
        <v>0.0009689922480620155</v>
      </c>
      <c r="E17" s="21">
        <f t="shared" si="0"/>
        <v>0.0012919896640826874</v>
      </c>
      <c r="F17" s="21">
        <f t="shared" si="0"/>
        <v>0.001614987080103359</v>
      </c>
      <c r="G17" s="21">
        <f t="shared" si="0"/>
        <v>0.001937984496124031</v>
      </c>
      <c r="H17" s="21">
        <f t="shared" si="0"/>
        <v>0.0022609819121447027</v>
      </c>
      <c r="I17" s="21">
        <f t="shared" si="0"/>
        <v>0.002583979328165375</v>
      </c>
      <c r="J17" s="21">
        <f t="shared" si="3"/>
        <v>0.003229974160206718</v>
      </c>
      <c r="K17" s="21">
        <f t="shared" si="3"/>
        <v>0.006459948320413436</v>
      </c>
      <c r="L17" s="21">
        <f t="shared" si="3"/>
        <v>0.009689922480620155</v>
      </c>
      <c r="M17" s="21">
        <f t="shared" si="3"/>
        <v>0.012919896640826873</v>
      </c>
      <c r="N17" s="21">
        <f t="shared" si="3"/>
        <v>0.01614987080103359</v>
      </c>
      <c r="O17" s="21">
        <f t="shared" si="3"/>
        <v>0.01937984496124031</v>
      </c>
      <c r="P17" s="21">
        <f t="shared" si="3"/>
        <v>0.022609819121447026</v>
      </c>
      <c r="Q17" s="21">
        <f t="shared" si="3"/>
        <v>0.025839793281653745</v>
      </c>
      <c r="R17" s="22">
        <f t="shared" si="3"/>
        <v>0.029069767441860465</v>
      </c>
      <c r="S17" s="22">
        <f t="shared" si="3"/>
        <v>0.03229974160206718</v>
      </c>
      <c r="T17" s="22">
        <f t="shared" si="3"/>
        <v>0.04844961240310078</v>
      </c>
      <c r="U17" s="22">
        <f t="shared" si="3"/>
        <v>0.06459948320413436</v>
      </c>
      <c r="V17" s="22">
        <f t="shared" si="3"/>
        <v>0.06815245478036176</v>
      </c>
      <c r="W17" s="22">
        <f t="shared" si="3"/>
        <v>0.08074935400516796</v>
      </c>
      <c r="X17" s="22">
        <f t="shared" si="3"/>
        <v>0.09689922480620156</v>
      </c>
      <c r="Y17" s="22">
        <f t="shared" si="3"/>
        <v>0.11304909560723514</v>
      </c>
      <c r="Z17" s="22">
        <f t="shared" si="2"/>
        <v>0.12919896640826872</v>
      </c>
      <c r="AA17" s="22">
        <f t="shared" si="2"/>
        <v>0.13628875968992246</v>
      </c>
    </row>
    <row r="18" spans="1:27" ht="16.5" customHeight="1">
      <c r="A18" s="20">
        <v>13.2</v>
      </c>
      <c r="B18" s="21">
        <f t="shared" si="0"/>
        <v>0.0003156565656565657</v>
      </c>
      <c r="C18" s="21">
        <f t="shared" si="0"/>
        <v>0.0006313131313131314</v>
      </c>
      <c r="D18" s="21">
        <f t="shared" si="0"/>
        <v>0.000946969696969697</v>
      </c>
      <c r="E18" s="21">
        <f t="shared" si="0"/>
        <v>0.0012626262626262627</v>
      </c>
      <c r="F18" s="21">
        <f t="shared" si="0"/>
        <v>0.0015782828282828283</v>
      </c>
      <c r="G18" s="21">
        <f t="shared" si="0"/>
        <v>0.001893939393939394</v>
      </c>
      <c r="H18" s="21">
        <f t="shared" si="0"/>
        <v>0.0022095959595959595</v>
      </c>
      <c r="I18" s="21">
        <f t="shared" si="0"/>
        <v>0.0025252525252525255</v>
      </c>
      <c r="J18" s="21">
        <f aca="true" t="shared" si="4" ref="J18:Y33">(J$1)/$A18/24</f>
        <v>0.0031565656565656565</v>
      </c>
      <c r="K18" s="21">
        <f t="shared" si="4"/>
        <v>0.006313131313131313</v>
      </c>
      <c r="L18" s="21">
        <f t="shared" si="4"/>
        <v>0.00946969696969697</v>
      </c>
      <c r="M18" s="21">
        <f t="shared" si="4"/>
        <v>0.012626262626262626</v>
      </c>
      <c r="N18" s="21">
        <f t="shared" si="4"/>
        <v>0.015782828282828284</v>
      </c>
      <c r="O18" s="21">
        <f t="shared" si="4"/>
        <v>0.01893939393939394</v>
      </c>
      <c r="P18" s="21">
        <f t="shared" si="4"/>
        <v>0.022095959595959596</v>
      </c>
      <c r="Q18" s="21">
        <f t="shared" si="4"/>
        <v>0.025252525252525252</v>
      </c>
      <c r="R18" s="22">
        <f t="shared" si="4"/>
        <v>0.02840909090909091</v>
      </c>
      <c r="S18" s="22">
        <f t="shared" si="4"/>
        <v>0.03156565656565657</v>
      </c>
      <c r="T18" s="22">
        <f t="shared" si="4"/>
        <v>0.047348484848484855</v>
      </c>
      <c r="U18" s="22">
        <f t="shared" si="4"/>
        <v>0.06313131313131314</v>
      </c>
      <c r="V18" s="22">
        <f t="shared" si="4"/>
        <v>0.06660353535353536</v>
      </c>
      <c r="W18" s="22">
        <f t="shared" si="4"/>
        <v>0.07891414141414142</v>
      </c>
      <c r="X18" s="22">
        <f t="shared" si="4"/>
        <v>0.09469696969696971</v>
      </c>
      <c r="Y18" s="22">
        <f t="shared" si="4"/>
        <v>0.110479797979798</v>
      </c>
      <c r="Z18" s="22">
        <f aca="true" t="shared" si="5" ref="Z18:AA32">(Z$1)/$A18/24</f>
        <v>0.12626262626262627</v>
      </c>
      <c r="AA18" s="22">
        <f t="shared" si="5"/>
        <v>0.1331912878787879</v>
      </c>
    </row>
    <row r="19" spans="1:28" ht="16.5" customHeight="1">
      <c r="A19" s="20">
        <v>13.5</v>
      </c>
      <c r="B19" s="21">
        <f t="shared" si="0"/>
        <v>0.00030864197530864197</v>
      </c>
      <c r="C19" s="21">
        <f t="shared" si="0"/>
        <v>0.0006172839506172839</v>
      </c>
      <c r="D19" s="21">
        <f t="shared" si="0"/>
        <v>0.000925925925925926</v>
      </c>
      <c r="E19" s="21">
        <f t="shared" si="0"/>
        <v>0.0012345679012345679</v>
      </c>
      <c r="F19" s="21">
        <f t="shared" si="0"/>
        <v>0.0015432098765432098</v>
      </c>
      <c r="G19" s="21">
        <f t="shared" si="0"/>
        <v>0.001851851851851852</v>
      </c>
      <c r="H19" s="21">
        <f t="shared" si="0"/>
        <v>0.0021604938271604936</v>
      </c>
      <c r="I19" s="21">
        <f t="shared" si="0"/>
        <v>0.0024691358024691358</v>
      </c>
      <c r="J19" s="21">
        <f t="shared" si="4"/>
        <v>0.0030864197530864196</v>
      </c>
      <c r="K19" s="21">
        <f t="shared" si="4"/>
        <v>0.006172839506172839</v>
      </c>
      <c r="L19" s="21">
        <f t="shared" si="4"/>
        <v>0.009259259259259259</v>
      </c>
      <c r="M19" s="21">
        <f t="shared" si="4"/>
        <v>0.012345679012345678</v>
      </c>
      <c r="N19" s="21">
        <f t="shared" si="4"/>
        <v>0.015432098765432098</v>
      </c>
      <c r="O19" s="21">
        <f t="shared" si="4"/>
        <v>0.018518518518518517</v>
      </c>
      <c r="P19" s="21">
        <f t="shared" si="4"/>
        <v>0.021604938271604937</v>
      </c>
      <c r="Q19" s="21">
        <f t="shared" si="4"/>
        <v>0.024691358024691357</v>
      </c>
      <c r="R19" s="22">
        <f t="shared" si="4"/>
        <v>0.027777777777777776</v>
      </c>
      <c r="S19" s="22">
        <f t="shared" si="4"/>
        <v>0.030864197530864196</v>
      </c>
      <c r="T19" s="22">
        <f t="shared" si="4"/>
        <v>0.0462962962962963</v>
      </c>
      <c r="U19" s="22">
        <f t="shared" si="4"/>
        <v>0.06172839506172839</v>
      </c>
      <c r="V19" s="22">
        <f t="shared" si="4"/>
        <v>0.06512345679012346</v>
      </c>
      <c r="W19" s="22">
        <f t="shared" si="4"/>
        <v>0.07716049382716049</v>
      </c>
      <c r="X19" s="22">
        <f t="shared" si="4"/>
        <v>0.0925925925925926</v>
      </c>
      <c r="Y19" s="22">
        <f t="shared" si="4"/>
        <v>0.10802469135802469</v>
      </c>
      <c r="Z19" s="22">
        <f t="shared" si="5"/>
        <v>0.12345679012345678</v>
      </c>
      <c r="AA19" s="22">
        <f t="shared" si="5"/>
        <v>0.13023148148148148</v>
      </c>
      <c r="AB19" s="23"/>
    </row>
    <row r="20" spans="1:27" ht="16.5" customHeight="1">
      <c r="A20" s="20">
        <v>13.8</v>
      </c>
      <c r="B20" s="21">
        <f t="shared" si="0"/>
        <v>0.00030193236714975844</v>
      </c>
      <c r="C20" s="21">
        <f t="shared" si="0"/>
        <v>0.0006038647342995169</v>
      </c>
      <c r="D20" s="21">
        <f t="shared" si="0"/>
        <v>0.0009057971014492754</v>
      </c>
      <c r="E20" s="21">
        <f t="shared" si="0"/>
        <v>0.0012077294685990338</v>
      </c>
      <c r="F20" s="21">
        <f t="shared" si="0"/>
        <v>0.0015096618357487923</v>
      </c>
      <c r="G20" s="21">
        <f t="shared" si="0"/>
        <v>0.0018115942028985507</v>
      </c>
      <c r="H20" s="21">
        <f t="shared" si="0"/>
        <v>0.002113526570048309</v>
      </c>
      <c r="I20" s="21">
        <f t="shared" si="0"/>
        <v>0.0024154589371980675</v>
      </c>
      <c r="J20" s="21">
        <f t="shared" si="4"/>
        <v>0.0030193236714975845</v>
      </c>
      <c r="K20" s="21">
        <f t="shared" si="4"/>
        <v>0.006038647342995169</v>
      </c>
      <c r="L20" s="21">
        <f t="shared" si="4"/>
        <v>0.009057971014492754</v>
      </c>
      <c r="M20" s="21">
        <f t="shared" si="4"/>
        <v>0.012077294685990338</v>
      </c>
      <c r="N20" s="21">
        <f t="shared" si="4"/>
        <v>0.015096618357487922</v>
      </c>
      <c r="O20" s="21">
        <f t="shared" si="4"/>
        <v>0.018115942028985508</v>
      </c>
      <c r="P20" s="21">
        <f t="shared" si="4"/>
        <v>0.02113526570048309</v>
      </c>
      <c r="Q20" s="21">
        <f t="shared" si="4"/>
        <v>0.024154589371980676</v>
      </c>
      <c r="R20" s="22">
        <f t="shared" si="4"/>
        <v>0.02717391304347826</v>
      </c>
      <c r="S20" s="22">
        <f t="shared" si="4"/>
        <v>0.030193236714975844</v>
      </c>
      <c r="T20" s="22">
        <f t="shared" si="4"/>
        <v>0.04528985507246377</v>
      </c>
      <c r="U20" s="22">
        <f t="shared" si="4"/>
        <v>0.06038647342995169</v>
      </c>
      <c r="V20" s="22">
        <f t="shared" si="4"/>
        <v>0.06370772946859904</v>
      </c>
      <c r="W20" s="22">
        <f t="shared" si="4"/>
        <v>0.0754830917874396</v>
      </c>
      <c r="X20" s="22">
        <f t="shared" si="4"/>
        <v>0.09057971014492754</v>
      </c>
      <c r="Y20" s="22">
        <f t="shared" si="4"/>
        <v>0.10567632850241544</v>
      </c>
      <c r="Z20" s="22">
        <f t="shared" si="5"/>
        <v>0.12077294685990338</v>
      </c>
      <c r="AA20" s="22">
        <f t="shared" si="5"/>
        <v>0.12740036231884058</v>
      </c>
    </row>
    <row r="21" spans="1:27" ht="16.5" customHeight="1">
      <c r="A21" s="20">
        <v>14.1</v>
      </c>
      <c r="B21" s="21">
        <f t="shared" si="0"/>
        <v>0.00029550827423167853</v>
      </c>
      <c r="C21" s="21">
        <f t="shared" si="0"/>
        <v>0.0005910165484633571</v>
      </c>
      <c r="D21" s="21">
        <f t="shared" si="0"/>
        <v>0.0008865248226950354</v>
      </c>
      <c r="E21" s="21">
        <f t="shared" si="0"/>
        <v>0.0011820330969267141</v>
      </c>
      <c r="F21" s="21">
        <f t="shared" si="0"/>
        <v>0.0014775413711583926</v>
      </c>
      <c r="G21" s="21">
        <f t="shared" si="0"/>
        <v>0.0017730496453900709</v>
      </c>
      <c r="H21" s="21">
        <f t="shared" si="0"/>
        <v>0.0020685579196217494</v>
      </c>
      <c r="I21" s="21">
        <f t="shared" si="0"/>
        <v>0.0023640661938534283</v>
      </c>
      <c r="J21" s="21">
        <f t="shared" si="4"/>
        <v>0.0029550827423167852</v>
      </c>
      <c r="K21" s="21">
        <f t="shared" si="4"/>
        <v>0.0059101654846335705</v>
      </c>
      <c r="L21" s="21">
        <f t="shared" si="4"/>
        <v>0.008865248226950355</v>
      </c>
      <c r="M21" s="21">
        <f t="shared" si="4"/>
        <v>0.011820330969267141</v>
      </c>
      <c r="N21" s="21">
        <f t="shared" si="4"/>
        <v>0.014775413711583925</v>
      </c>
      <c r="O21" s="21">
        <f t="shared" si="4"/>
        <v>0.01773049645390071</v>
      </c>
      <c r="P21" s="21">
        <f t="shared" si="4"/>
        <v>0.020685579196217493</v>
      </c>
      <c r="Q21" s="21">
        <f t="shared" si="4"/>
        <v>0.023640661938534282</v>
      </c>
      <c r="R21" s="22">
        <f t="shared" si="4"/>
        <v>0.026595744680851064</v>
      </c>
      <c r="S21" s="22">
        <f t="shared" si="4"/>
        <v>0.02955082742316785</v>
      </c>
      <c r="T21" s="22">
        <f t="shared" si="4"/>
        <v>0.044326241134751775</v>
      </c>
      <c r="U21" s="22">
        <f t="shared" si="4"/>
        <v>0.0591016548463357</v>
      </c>
      <c r="V21" s="22">
        <f t="shared" si="4"/>
        <v>0.06235224586288416</v>
      </c>
      <c r="W21" s="22">
        <f t="shared" si="4"/>
        <v>0.07387706855791963</v>
      </c>
      <c r="X21" s="22">
        <f t="shared" si="4"/>
        <v>0.08865248226950355</v>
      </c>
      <c r="Y21" s="22">
        <f t="shared" si="4"/>
        <v>0.10342789598108748</v>
      </c>
      <c r="Z21" s="22">
        <f t="shared" si="5"/>
        <v>0.1182033096926714</v>
      </c>
      <c r="AA21" s="22">
        <f t="shared" si="5"/>
        <v>0.12468971631205673</v>
      </c>
    </row>
    <row r="22" spans="1:27" ht="16.5" customHeight="1">
      <c r="A22" s="20">
        <v>14.4</v>
      </c>
      <c r="B22" s="21">
        <f aca="true" t="shared" si="6" ref="B22:I41">(B$1/1000)/$A22/24</f>
        <v>0.0002893518518518519</v>
      </c>
      <c r="C22" s="21">
        <f t="shared" si="6"/>
        <v>0.0005787037037037038</v>
      </c>
      <c r="D22" s="21">
        <f t="shared" si="6"/>
        <v>0.0008680555555555555</v>
      </c>
      <c r="E22" s="21">
        <f t="shared" si="6"/>
        <v>0.0011574074074074076</v>
      </c>
      <c r="F22" s="21">
        <f t="shared" si="6"/>
        <v>0.0014467592592592594</v>
      </c>
      <c r="G22" s="21">
        <f t="shared" si="6"/>
        <v>0.001736111111111111</v>
      </c>
      <c r="H22" s="21">
        <f t="shared" si="6"/>
        <v>0.002025462962962963</v>
      </c>
      <c r="I22" s="21">
        <f t="shared" si="6"/>
        <v>0.002314814814814815</v>
      </c>
      <c r="J22" s="21">
        <f t="shared" si="4"/>
        <v>0.002893518518518519</v>
      </c>
      <c r="K22" s="21">
        <f t="shared" si="4"/>
        <v>0.005787037037037038</v>
      </c>
      <c r="L22" s="21">
        <f t="shared" si="4"/>
        <v>0.008680555555555554</v>
      </c>
      <c r="M22" s="21">
        <f t="shared" si="4"/>
        <v>0.011574074074074075</v>
      </c>
      <c r="N22" s="21">
        <f t="shared" si="4"/>
        <v>0.014467592592592593</v>
      </c>
      <c r="O22" s="21">
        <f t="shared" si="4"/>
        <v>0.01736111111111111</v>
      </c>
      <c r="P22" s="21">
        <f t="shared" si="4"/>
        <v>0.02025462962962963</v>
      </c>
      <c r="Q22" s="21">
        <f t="shared" si="4"/>
        <v>0.02314814814814815</v>
      </c>
      <c r="R22" s="22">
        <f t="shared" si="4"/>
        <v>0.026041666666666668</v>
      </c>
      <c r="S22" s="22">
        <f t="shared" si="4"/>
        <v>0.028935185185185185</v>
      </c>
      <c r="T22" s="22">
        <f t="shared" si="4"/>
        <v>0.04340277777777778</v>
      </c>
      <c r="U22" s="22">
        <f t="shared" si="4"/>
        <v>0.05787037037037037</v>
      </c>
      <c r="V22" s="22">
        <f t="shared" si="4"/>
        <v>0.06105324074074075</v>
      </c>
      <c r="W22" s="22">
        <f t="shared" si="4"/>
        <v>0.07233796296296297</v>
      </c>
      <c r="X22" s="22">
        <f t="shared" si="4"/>
        <v>0.08680555555555557</v>
      </c>
      <c r="Y22" s="22">
        <f t="shared" si="4"/>
        <v>0.10127314814814814</v>
      </c>
      <c r="Z22" s="22">
        <f t="shared" si="5"/>
        <v>0.11574074074074074</v>
      </c>
      <c r="AA22" s="22">
        <f t="shared" si="5"/>
        <v>0.12209201388888889</v>
      </c>
    </row>
    <row r="23" spans="1:27" ht="16.5" customHeight="1">
      <c r="A23" s="20">
        <v>14.7</v>
      </c>
      <c r="B23" s="21">
        <f t="shared" si="6"/>
        <v>0.0002834467120181406</v>
      </c>
      <c r="C23" s="21">
        <f t="shared" si="6"/>
        <v>0.0005668934240362812</v>
      </c>
      <c r="D23" s="21">
        <f t="shared" si="6"/>
        <v>0.0008503401360544218</v>
      </c>
      <c r="E23" s="21">
        <f t="shared" si="6"/>
        <v>0.0011337868480725624</v>
      </c>
      <c r="F23" s="21">
        <f t="shared" si="6"/>
        <v>0.0014172335600907031</v>
      </c>
      <c r="G23" s="21">
        <f t="shared" si="6"/>
        <v>0.0017006802721088437</v>
      </c>
      <c r="H23" s="21">
        <f t="shared" si="6"/>
        <v>0.001984126984126984</v>
      </c>
      <c r="I23" s="21">
        <f t="shared" si="6"/>
        <v>0.0022675736961451248</v>
      </c>
      <c r="J23" s="21">
        <f t="shared" si="4"/>
        <v>0.0028344671201814063</v>
      </c>
      <c r="K23" s="21">
        <f t="shared" si="4"/>
        <v>0.005668934240362813</v>
      </c>
      <c r="L23" s="21">
        <f t="shared" si="4"/>
        <v>0.008503401360544218</v>
      </c>
      <c r="M23" s="21">
        <f t="shared" si="4"/>
        <v>0.011337868480725625</v>
      </c>
      <c r="N23" s="21">
        <f t="shared" si="4"/>
        <v>0.014172335600907028</v>
      </c>
      <c r="O23" s="21">
        <f t="shared" si="4"/>
        <v>0.017006802721088437</v>
      </c>
      <c r="P23" s="21">
        <f t="shared" si="4"/>
        <v>0.019841269841269844</v>
      </c>
      <c r="Q23" s="21">
        <f t="shared" si="4"/>
        <v>0.02267573696145125</v>
      </c>
      <c r="R23" s="22">
        <f t="shared" si="4"/>
        <v>0.025510204081632654</v>
      </c>
      <c r="S23" s="22">
        <f t="shared" si="4"/>
        <v>0.028344671201814057</v>
      </c>
      <c r="T23" s="22">
        <f t="shared" si="4"/>
        <v>0.04251700680272109</v>
      </c>
      <c r="U23" s="22">
        <f t="shared" si="4"/>
        <v>0.056689342403628114</v>
      </c>
      <c r="V23" s="22">
        <f t="shared" si="4"/>
        <v>0.05980725623582767</v>
      </c>
      <c r="W23" s="22">
        <f t="shared" si="4"/>
        <v>0.07086167800453515</v>
      </c>
      <c r="X23" s="22">
        <f t="shared" si="4"/>
        <v>0.08503401360544217</v>
      </c>
      <c r="Y23" s="22">
        <f t="shared" si="4"/>
        <v>0.0992063492063492</v>
      </c>
      <c r="Z23" s="22">
        <f t="shared" si="5"/>
        <v>0.11337868480725623</v>
      </c>
      <c r="AA23" s="22">
        <f t="shared" si="5"/>
        <v>0.11960034013605443</v>
      </c>
    </row>
    <row r="24" spans="1:27" ht="16.5" customHeight="1">
      <c r="A24" s="20">
        <v>15</v>
      </c>
      <c r="B24" s="21">
        <f t="shared" si="6"/>
        <v>0.0002777777777777778</v>
      </c>
      <c r="C24" s="21">
        <f t="shared" si="6"/>
        <v>0.0005555555555555556</v>
      </c>
      <c r="D24" s="21">
        <f t="shared" si="6"/>
        <v>0.0008333333333333334</v>
      </c>
      <c r="E24" s="21">
        <f t="shared" si="6"/>
        <v>0.0011111111111111111</v>
      </c>
      <c r="F24" s="21">
        <f t="shared" si="6"/>
        <v>0.001388888888888889</v>
      </c>
      <c r="G24" s="21">
        <f t="shared" si="6"/>
        <v>0.0016666666666666668</v>
      </c>
      <c r="H24" s="21">
        <f t="shared" si="6"/>
        <v>0.0019444444444444442</v>
      </c>
      <c r="I24" s="21">
        <f t="shared" si="6"/>
        <v>0.0022222222222222222</v>
      </c>
      <c r="J24" s="21">
        <f t="shared" si="4"/>
        <v>0.002777777777777778</v>
      </c>
      <c r="K24" s="21">
        <f t="shared" si="4"/>
        <v>0.005555555555555556</v>
      </c>
      <c r="L24" s="21">
        <f t="shared" si="4"/>
        <v>0.008333333333333333</v>
      </c>
      <c r="M24" s="21">
        <f t="shared" si="4"/>
        <v>0.011111111111111112</v>
      </c>
      <c r="N24" s="21">
        <f t="shared" si="4"/>
        <v>0.013888888888888888</v>
      </c>
      <c r="O24" s="21">
        <f t="shared" si="4"/>
        <v>0.016666666666666666</v>
      </c>
      <c r="P24" s="21">
        <f t="shared" si="4"/>
        <v>0.019444444444444445</v>
      </c>
      <c r="Q24" s="21">
        <f t="shared" si="4"/>
        <v>0.022222222222222223</v>
      </c>
      <c r="R24" s="22">
        <f t="shared" si="4"/>
        <v>0.024999999999999998</v>
      </c>
      <c r="S24" s="22">
        <f t="shared" si="4"/>
        <v>0.027777777777777776</v>
      </c>
      <c r="T24" s="22">
        <f t="shared" si="4"/>
        <v>0.041666666666666664</v>
      </c>
      <c r="U24" s="22">
        <f t="shared" si="4"/>
        <v>0.05555555555555555</v>
      </c>
      <c r="V24" s="22">
        <f t="shared" si="4"/>
        <v>0.058611111111111114</v>
      </c>
      <c r="W24" s="22">
        <f t="shared" si="4"/>
        <v>0.06944444444444445</v>
      </c>
      <c r="X24" s="22">
        <f t="shared" si="4"/>
        <v>0.08333333333333333</v>
      </c>
      <c r="Y24" s="22">
        <f t="shared" si="4"/>
        <v>0.09722222222222222</v>
      </c>
      <c r="Z24" s="22">
        <f t="shared" si="5"/>
        <v>0.1111111111111111</v>
      </c>
      <c r="AA24" s="22">
        <f t="shared" si="5"/>
        <v>0.11720833333333334</v>
      </c>
    </row>
    <row r="25" spans="1:27" ht="16.5" customHeight="1">
      <c r="A25" s="20">
        <v>15.3</v>
      </c>
      <c r="B25" s="21">
        <f t="shared" si="6"/>
        <v>0.0002723311546840959</v>
      </c>
      <c r="C25" s="21">
        <f t="shared" si="6"/>
        <v>0.0005446623093681918</v>
      </c>
      <c r="D25" s="21">
        <f t="shared" si="6"/>
        <v>0.0008169934640522876</v>
      </c>
      <c r="E25" s="21">
        <f t="shared" si="6"/>
        <v>0.0010893246187363835</v>
      </c>
      <c r="F25" s="21">
        <f t="shared" si="6"/>
        <v>0.0013616557734204794</v>
      </c>
      <c r="G25" s="21">
        <f t="shared" si="6"/>
        <v>0.0016339869281045752</v>
      </c>
      <c r="H25" s="21">
        <f t="shared" si="6"/>
        <v>0.0019063180827886708</v>
      </c>
      <c r="I25" s="21">
        <f t="shared" si="6"/>
        <v>0.002178649237472767</v>
      </c>
      <c r="J25" s="21">
        <f t="shared" si="4"/>
        <v>0.0027233115468409588</v>
      </c>
      <c r="K25" s="21">
        <f t="shared" si="4"/>
        <v>0.0054466230936819175</v>
      </c>
      <c r="L25" s="21">
        <f t="shared" si="4"/>
        <v>0.008169934640522876</v>
      </c>
      <c r="M25" s="21">
        <f t="shared" si="4"/>
        <v>0.010893246187363835</v>
      </c>
      <c r="N25" s="21">
        <f t="shared" si="4"/>
        <v>0.013616557734204794</v>
      </c>
      <c r="O25" s="21">
        <f t="shared" si="4"/>
        <v>0.016339869281045753</v>
      </c>
      <c r="P25" s="21">
        <f t="shared" si="4"/>
        <v>0.01906318082788671</v>
      </c>
      <c r="Q25" s="21">
        <f t="shared" si="4"/>
        <v>0.02178649237472767</v>
      </c>
      <c r="R25" s="22">
        <f t="shared" si="4"/>
        <v>0.024509803921568627</v>
      </c>
      <c r="S25" s="22">
        <f t="shared" si="4"/>
        <v>0.027233115468409588</v>
      </c>
      <c r="T25" s="22">
        <f t="shared" si="4"/>
        <v>0.04084967320261438</v>
      </c>
      <c r="U25" s="22">
        <f t="shared" si="4"/>
        <v>0.054466230936819175</v>
      </c>
      <c r="V25" s="22">
        <f t="shared" si="4"/>
        <v>0.05746187363834423</v>
      </c>
      <c r="W25" s="22">
        <f t="shared" si="4"/>
        <v>0.06808278867102396</v>
      </c>
      <c r="X25" s="22">
        <f t="shared" si="4"/>
        <v>0.08169934640522876</v>
      </c>
      <c r="Y25" s="22">
        <f t="shared" si="4"/>
        <v>0.09531590413943354</v>
      </c>
      <c r="Z25" s="22">
        <f t="shared" si="5"/>
        <v>0.10893246187363835</v>
      </c>
      <c r="AA25" s="22">
        <f t="shared" si="5"/>
        <v>0.11491013071895424</v>
      </c>
    </row>
    <row r="26" spans="1:27" ht="16.5" customHeight="1">
      <c r="A26" s="20">
        <v>15.6</v>
      </c>
      <c r="B26" s="21">
        <f t="shared" si="6"/>
        <v>0.0002670940170940171</v>
      </c>
      <c r="C26" s="21">
        <f t="shared" si="6"/>
        <v>0.0005341880341880342</v>
      </c>
      <c r="D26" s="21">
        <f t="shared" si="6"/>
        <v>0.0008012820512820514</v>
      </c>
      <c r="E26" s="21">
        <f t="shared" si="6"/>
        <v>0.0010683760683760685</v>
      </c>
      <c r="F26" s="21">
        <f t="shared" si="6"/>
        <v>0.0013354700854700857</v>
      </c>
      <c r="G26" s="21">
        <f t="shared" si="6"/>
        <v>0.0016025641025641027</v>
      </c>
      <c r="H26" s="21">
        <f t="shared" si="6"/>
        <v>0.0018696581196581197</v>
      </c>
      <c r="I26" s="21">
        <f t="shared" si="6"/>
        <v>0.002136752136752137</v>
      </c>
      <c r="J26" s="21">
        <f t="shared" si="4"/>
        <v>0.0026709401709401714</v>
      </c>
      <c r="K26" s="21">
        <f t="shared" si="4"/>
        <v>0.005341880341880343</v>
      </c>
      <c r="L26" s="21">
        <f t="shared" si="4"/>
        <v>0.008012820512820514</v>
      </c>
      <c r="M26" s="21">
        <f t="shared" si="4"/>
        <v>0.010683760683760686</v>
      </c>
      <c r="N26" s="21">
        <f t="shared" si="4"/>
        <v>0.013354700854700856</v>
      </c>
      <c r="O26" s="21">
        <f t="shared" si="4"/>
        <v>0.016025641025641028</v>
      </c>
      <c r="P26" s="21">
        <f t="shared" si="4"/>
        <v>0.018696581196581196</v>
      </c>
      <c r="Q26" s="21">
        <f t="shared" si="4"/>
        <v>0.02136752136752137</v>
      </c>
      <c r="R26" s="22">
        <f t="shared" si="4"/>
        <v>0.02403846153846154</v>
      </c>
      <c r="S26" s="22">
        <f t="shared" si="4"/>
        <v>0.02670940170940171</v>
      </c>
      <c r="T26" s="22">
        <f t="shared" si="4"/>
        <v>0.04006410256410257</v>
      </c>
      <c r="U26" s="22">
        <f t="shared" si="4"/>
        <v>0.05341880341880342</v>
      </c>
      <c r="V26" s="22">
        <f t="shared" si="4"/>
        <v>0.05635683760683761</v>
      </c>
      <c r="W26" s="22">
        <f t="shared" si="4"/>
        <v>0.06677350427350427</v>
      </c>
      <c r="X26" s="22">
        <f t="shared" si="4"/>
        <v>0.08012820512820513</v>
      </c>
      <c r="Y26" s="22">
        <f t="shared" si="4"/>
        <v>0.09348290598290598</v>
      </c>
      <c r="Z26" s="22">
        <f t="shared" si="5"/>
        <v>0.10683760683760685</v>
      </c>
      <c r="AA26" s="22">
        <f t="shared" si="5"/>
        <v>0.11270032051282051</v>
      </c>
    </row>
    <row r="27" spans="1:27" ht="16.5" customHeight="1">
      <c r="A27" s="20">
        <v>15.9</v>
      </c>
      <c r="B27" s="21">
        <f t="shared" si="6"/>
        <v>0.0002620545073375262</v>
      </c>
      <c r="C27" s="21">
        <f t="shared" si="6"/>
        <v>0.0005241090146750524</v>
      </c>
      <c r="D27" s="21">
        <f t="shared" si="6"/>
        <v>0.0007861635220125786</v>
      </c>
      <c r="E27" s="21">
        <f t="shared" si="6"/>
        <v>0.0010482180293501049</v>
      </c>
      <c r="F27" s="21">
        <f t="shared" si="6"/>
        <v>0.001310272536687631</v>
      </c>
      <c r="G27" s="21">
        <f t="shared" si="6"/>
        <v>0.001572327044025157</v>
      </c>
      <c r="H27" s="21">
        <f t="shared" si="6"/>
        <v>0.0018343815513626833</v>
      </c>
      <c r="I27" s="21">
        <f t="shared" si="6"/>
        <v>0.0020964360587002098</v>
      </c>
      <c r="J27" s="21">
        <f t="shared" si="4"/>
        <v>0.002620545073375262</v>
      </c>
      <c r="K27" s="21">
        <f t="shared" si="4"/>
        <v>0.005241090146750524</v>
      </c>
      <c r="L27" s="21">
        <f t="shared" si="4"/>
        <v>0.007861635220125786</v>
      </c>
      <c r="M27" s="21">
        <f t="shared" si="4"/>
        <v>0.010482180293501049</v>
      </c>
      <c r="N27" s="21">
        <f t="shared" si="4"/>
        <v>0.01310272536687631</v>
      </c>
      <c r="O27" s="21">
        <f t="shared" si="4"/>
        <v>0.015723270440251572</v>
      </c>
      <c r="P27" s="21">
        <f t="shared" si="4"/>
        <v>0.018343815513626835</v>
      </c>
      <c r="Q27" s="21">
        <f t="shared" si="4"/>
        <v>0.020964360587002098</v>
      </c>
      <c r="R27" s="22">
        <f t="shared" si="4"/>
        <v>0.023584905660377357</v>
      </c>
      <c r="S27" s="22">
        <f t="shared" si="4"/>
        <v>0.02620545073375262</v>
      </c>
      <c r="T27" s="22">
        <f t="shared" si="4"/>
        <v>0.03930817610062893</v>
      </c>
      <c r="U27" s="22">
        <f t="shared" si="4"/>
        <v>0.05241090146750524</v>
      </c>
      <c r="V27" s="22">
        <f t="shared" si="4"/>
        <v>0.055293501048218036</v>
      </c>
      <c r="W27" s="22">
        <f t="shared" si="4"/>
        <v>0.06551362683438154</v>
      </c>
      <c r="X27" s="22">
        <f t="shared" si="4"/>
        <v>0.07861635220125786</v>
      </c>
      <c r="Y27" s="22">
        <f t="shared" si="4"/>
        <v>0.09171907756813417</v>
      </c>
      <c r="Z27" s="22">
        <f t="shared" si="5"/>
        <v>0.10482180293501048</v>
      </c>
      <c r="AA27" s="22">
        <f t="shared" si="5"/>
        <v>0.11057389937106919</v>
      </c>
    </row>
    <row r="28" spans="1:70" ht="16.5" customHeight="1">
      <c r="A28" s="20">
        <v>16.2</v>
      </c>
      <c r="B28" s="21">
        <f t="shared" si="6"/>
        <v>0.000257201646090535</v>
      </c>
      <c r="C28" s="21">
        <f t="shared" si="6"/>
        <v>0.00051440329218107</v>
      </c>
      <c r="D28" s="21">
        <f t="shared" si="6"/>
        <v>0.0007716049382716049</v>
      </c>
      <c r="E28" s="21">
        <f t="shared" si="6"/>
        <v>0.00102880658436214</v>
      </c>
      <c r="F28" s="21">
        <f t="shared" si="6"/>
        <v>0.001286008230452675</v>
      </c>
      <c r="G28" s="21">
        <f t="shared" si="6"/>
        <v>0.0015432098765432098</v>
      </c>
      <c r="H28" s="21">
        <f t="shared" si="6"/>
        <v>0.0018004115226337447</v>
      </c>
      <c r="I28" s="21">
        <f t="shared" si="6"/>
        <v>0.00205761316872428</v>
      </c>
      <c r="J28" s="21">
        <f t="shared" si="4"/>
        <v>0.00257201646090535</v>
      </c>
      <c r="K28" s="21">
        <f t="shared" si="4"/>
        <v>0.0051440329218107</v>
      </c>
      <c r="L28" s="21">
        <f t="shared" si="4"/>
        <v>0.00771604938271605</v>
      </c>
      <c r="M28" s="21">
        <f t="shared" si="4"/>
        <v>0.0102880658436214</v>
      </c>
      <c r="N28" s="21">
        <f t="shared" si="4"/>
        <v>0.012860082304526751</v>
      </c>
      <c r="O28" s="21">
        <f t="shared" si="4"/>
        <v>0.0154320987654321</v>
      </c>
      <c r="P28" s="21">
        <f t="shared" si="4"/>
        <v>0.01800411522633745</v>
      </c>
      <c r="Q28" s="21">
        <f t="shared" si="4"/>
        <v>0.0205761316872428</v>
      </c>
      <c r="R28" s="22">
        <f t="shared" si="4"/>
        <v>0.02314814814814815</v>
      </c>
      <c r="S28" s="22">
        <f t="shared" si="4"/>
        <v>0.025720164609053502</v>
      </c>
      <c r="T28" s="22">
        <f t="shared" si="4"/>
        <v>0.038580246913580245</v>
      </c>
      <c r="U28" s="22">
        <f t="shared" si="4"/>
        <v>0.051440329218107005</v>
      </c>
      <c r="V28" s="22">
        <f t="shared" si="4"/>
        <v>0.05426954732510289</v>
      </c>
      <c r="W28" s="22">
        <f t="shared" si="4"/>
        <v>0.06430041152263374</v>
      </c>
      <c r="X28" s="22">
        <f t="shared" si="4"/>
        <v>0.07716049382716049</v>
      </c>
      <c r="Y28" s="22">
        <f t="shared" si="4"/>
        <v>0.09002057613168725</v>
      </c>
      <c r="Z28" s="22">
        <f t="shared" si="5"/>
        <v>0.10288065843621401</v>
      </c>
      <c r="AA28" s="22">
        <f t="shared" si="5"/>
        <v>0.10852623456790124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</row>
    <row r="29" spans="1:70" ht="16.5" customHeight="1">
      <c r="A29" s="20">
        <v>16.65</v>
      </c>
      <c r="B29" s="21">
        <f t="shared" si="6"/>
        <v>0.0002502502502502503</v>
      </c>
      <c r="C29" s="21">
        <f t="shared" si="6"/>
        <v>0.0005005005005005006</v>
      </c>
      <c r="D29" s="21">
        <f t="shared" si="6"/>
        <v>0.0007507507507507507</v>
      </c>
      <c r="E29" s="21">
        <f t="shared" si="6"/>
        <v>0.0010010010010010012</v>
      </c>
      <c r="F29" s="21">
        <f t="shared" si="6"/>
        <v>0.0012512512512512515</v>
      </c>
      <c r="G29" s="21">
        <f t="shared" si="6"/>
        <v>0.0015015015015015015</v>
      </c>
      <c r="H29" s="21">
        <f t="shared" si="6"/>
        <v>0.001751751751751752</v>
      </c>
      <c r="I29" s="21">
        <f t="shared" si="6"/>
        <v>0.0020020020020020024</v>
      </c>
      <c r="J29" s="21">
        <f t="shared" si="4"/>
        <v>0.002502502502502503</v>
      </c>
      <c r="K29" s="21">
        <f t="shared" si="4"/>
        <v>0.005005005005005006</v>
      </c>
      <c r="L29" s="21">
        <f t="shared" si="4"/>
        <v>0.007507507507507508</v>
      </c>
      <c r="M29" s="21">
        <f t="shared" si="4"/>
        <v>0.010010010010010012</v>
      </c>
      <c r="N29" s="21">
        <f t="shared" si="4"/>
        <v>0.012512512512512513</v>
      </c>
      <c r="O29" s="21">
        <f t="shared" si="4"/>
        <v>0.015015015015015017</v>
      </c>
      <c r="P29" s="21">
        <f t="shared" si="4"/>
        <v>0.017517517517517518</v>
      </c>
      <c r="Q29" s="21">
        <f t="shared" si="4"/>
        <v>0.020020020020020023</v>
      </c>
      <c r="R29" s="22">
        <f t="shared" si="4"/>
        <v>0.022522522522522525</v>
      </c>
      <c r="S29" s="22">
        <f t="shared" si="4"/>
        <v>0.025025025025025027</v>
      </c>
      <c r="T29" s="22">
        <f t="shared" si="4"/>
        <v>0.037537537537537545</v>
      </c>
      <c r="U29" s="22">
        <f t="shared" si="4"/>
        <v>0.05005005005005005</v>
      </c>
      <c r="V29" s="22">
        <f t="shared" si="4"/>
        <v>0.052802802802802806</v>
      </c>
      <c r="W29" s="22">
        <f t="shared" si="4"/>
        <v>0.06256256256256257</v>
      </c>
      <c r="X29" s="22">
        <f t="shared" si="4"/>
        <v>0.07507507507507509</v>
      </c>
      <c r="Y29" s="22">
        <f t="shared" si="4"/>
        <v>0.0875875875875876</v>
      </c>
      <c r="Z29" s="22">
        <f t="shared" si="5"/>
        <v>0.1001001001001001</v>
      </c>
      <c r="AA29" s="22">
        <f t="shared" si="5"/>
        <v>0.1055930930930931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</row>
    <row r="30" spans="1:70" ht="16.5" customHeight="1">
      <c r="A30" s="20">
        <v>16.8</v>
      </c>
      <c r="B30" s="21">
        <f t="shared" si="6"/>
        <v>0.000248015873015873</v>
      </c>
      <c r="C30" s="21">
        <f t="shared" si="6"/>
        <v>0.000496031746031746</v>
      </c>
      <c r="D30" s="21">
        <f t="shared" si="6"/>
        <v>0.000744047619047619</v>
      </c>
      <c r="E30" s="21">
        <f t="shared" si="6"/>
        <v>0.000992063492063492</v>
      </c>
      <c r="F30" s="21">
        <f t="shared" si="6"/>
        <v>0.001240079365079365</v>
      </c>
      <c r="G30" s="21">
        <f t="shared" si="6"/>
        <v>0.001488095238095238</v>
      </c>
      <c r="H30" s="21">
        <f t="shared" si="6"/>
        <v>0.001736111111111111</v>
      </c>
      <c r="I30" s="21">
        <f t="shared" si="6"/>
        <v>0.001984126984126984</v>
      </c>
      <c r="J30" s="21">
        <f t="shared" si="4"/>
        <v>0.00248015873015873</v>
      </c>
      <c r="K30" s="21">
        <f t="shared" si="4"/>
        <v>0.00496031746031746</v>
      </c>
      <c r="L30" s="21">
        <f t="shared" si="4"/>
        <v>0.007440476190476191</v>
      </c>
      <c r="M30" s="21">
        <f t="shared" si="4"/>
        <v>0.00992063492063492</v>
      </c>
      <c r="N30" s="21">
        <f t="shared" si="4"/>
        <v>0.01240079365079365</v>
      </c>
      <c r="O30" s="21">
        <f t="shared" si="4"/>
        <v>0.014880952380952382</v>
      </c>
      <c r="P30" s="21">
        <f t="shared" si="4"/>
        <v>0.01736111111111111</v>
      </c>
      <c r="Q30" s="21">
        <f t="shared" si="4"/>
        <v>0.01984126984126984</v>
      </c>
      <c r="R30" s="22">
        <f t="shared" si="4"/>
        <v>0.022321428571428572</v>
      </c>
      <c r="S30" s="22">
        <f t="shared" si="4"/>
        <v>0.0248015873015873</v>
      </c>
      <c r="T30" s="22">
        <f t="shared" si="4"/>
        <v>0.03720238095238095</v>
      </c>
      <c r="U30" s="22">
        <f t="shared" si="4"/>
        <v>0.0496031746031746</v>
      </c>
      <c r="V30" s="22">
        <f t="shared" si="4"/>
        <v>0.05233134920634921</v>
      </c>
      <c r="W30" s="22">
        <f t="shared" si="4"/>
        <v>0.062003968253968256</v>
      </c>
      <c r="X30" s="22">
        <f t="shared" si="4"/>
        <v>0.0744047619047619</v>
      </c>
      <c r="Y30" s="22">
        <f t="shared" si="4"/>
        <v>0.08680555555555554</v>
      </c>
      <c r="Z30" s="22">
        <f t="shared" si="5"/>
        <v>0.0992063492063492</v>
      </c>
      <c r="AA30" s="22">
        <f t="shared" si="5"/>
        <v>0.10465029761904761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</row>
    <row r="31" spans="1:70" ht="16.5" customHeight="1">
      <c r="A31" s="20">
        <v>17.1</v>
      </c>
      <c r="B31" s="21">
        <f t="shared" si="6"/>
        <v>0.00024366471734892786</v>
      </c>
      <c r="C31" s="21">
        <f t="shared" si="6"/>
        <v>0.0004873294346978557</v>
      </c>
      <c r="D31" s="21">
        <f t="shared" si="6"/>
        <v>0.0007309941520467836</v>
      </c>
      <c r="E31" s="21">
        <f t="shared" si="6"/>
        <v>0.0009746588693957114</v>
      </c>
      <c r="F31" s="21">
        <f t="shared" si="6"/>
        <v>0.0012183235867446393</v>
      </c>
      <c r="G31" s="21">
        <f t="shared" si="6"/>
        <v>0.0014619883040935672</v>
      </c>
      <c r="H31" s="21">
        <f t="shared" si="6"/>
        <v>0.0017056530214424948</v>
      </c>
      <c r="I31" s="21">
        <f t="shared" si="6"/>
        <v>0.001949317738791423</v>
      </c>
      <c r="J31" s="21">
        <f t="shared" si="4"/>
        <v>0.0024366471734892786</v>
      </c>
      <c r="K31" s="21">
        <f t="shared" si="4"/>
        <v>0.004873294346978557</v>
      </c>
      <c r="L31" s="21">
        <f t="shared" si="4"/>
        <v>0.007309941520467836</v>
      </c>
      <c r="M31" s="21">
        <f t="shared" si="4"/>
        <v>0.009746588693957114</v>
      </c>
      <c r="N31" s="21">
        <f t="shared" si="4"/>
        <v>0.012183235867446393</v>
      </c>
      <c r="O31" s="21">
        <f t="shared" si="4"/>
        <v>0.014619883040935672</v>
      </c>
      <c r="P31" s="21">
        <f t="shared" si="4"/>
        <v>0.01705653021442495</v>
      </c>
      <c r="Q31" s="21">
        <f t="shared" si="4"/>
        <v>0.01949317738791423</v>
      </c>
      <c r="R31" s="22">
        <f t="shared" si="4"/>
        <v>0.021929824561403508</v>
      </c>
      <c r="S31" s="22">
        <f t="shared" si="4"/>
        <v>0.024366471734892786</v>
      </c>
      <c r="T31" s="22">
        <f t="shared" si="4"/>
        <v>0.03654970760233918</v>
      </c>
      <c r="U31" s="22">
        <f t="shared" si="4"/>
        <v>0.04873294346978557</v>
      </c>
      <c r="V31" s="22">
        <f t="shared" si="4"/>
        <v>0.05141325536062378</v>
      </c>
      <c r="W31" s="22">
        <f t="shared" si="4"/>
        <v>0.06091617933723196</v>
      </c>
      <c r="X31" s="22">
        <f t="shared" si="4"/>
        <v>0.07309941520467836</v>
      </c>
      <c r="Y31" s="22">
        <f t="shared" si="4"/>
        <v>0.08528265107212475</v>
      </c>
      <c r="Z31" s="22">
        <f t="shared" si="5"/>
        <v>0.09746588693957114</v>
      </c>
      <c r="AA31" s="22">
        <f t="shared" si="5"/>
        <v>0.10281432748538011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</row>
    <row r="32" spans="1:70" ht="16.5" customHeight="1">
      <c r="A32" s="20">
        <v>17.4</v>
      </c>
      <c r="B32" s="21">
        <f t="shared" si="6"/>
        <v>0.0002394636015325671</v>
      </c>
      <c r="C32" s="21">
        <f t="shared" si="6"/>
        <v>0.0004789272030651342</v>
      </c>
      <c r="D32" s="21">
        <f t="shared" si="6"/>
        <v>0.0007183908045977011</v>
      </c>
      <c r="E32" s="21">
        <f t="shared" si="6"/>
        <v>0.0009578544061302684</v>
      </c>
      <c r="F32" s="21">
        <f t="shared" si="6"/>
        <v>0.0011973180076628354</v>
      </c>
      <c r="G32" s="21">
        <f t="shared" si="6"/>
        <v>0.0014367816091954023</v>
      </c>
      <c r="H32" s="21">
        <f t="shared" si="6"/>
        <v>0.0016762452107279694</v>
      </c>
      <c r="I32" s="21">
        <f t="shared" si="6"/>
        <v>0.0019157088122605367</v>
      </c>
      <c r="J32" s="21">
        <f t="shared" si="4"/>
        <v>0.0023946360153256708</v>
      </c>
      <c r="K32" s="21">
        <f t="shared" si="4"/>
        <v>0.0047892720306513415</v>
      </c>
      <c r="L32" s="21">
        <f t="shared" si="4"/>
        <v>0.007183908045977012</v>
      </c>
      <c r="M32" s="21">
        <f t="shared" si="4"/>
        <v>0.009578544061302683</v>
      </c>
      <c r="N32" s="21">
        <f t="shared" si="4"/>
        <v>0.011973180076628355</v>
      </c>
      <c r="O32" s="21">
        <f t="shared" si="4"/>
        <v>0.014367816091954025</v>
      </c>
      <c r="P32" s="21">
        <f t="shared" si="4"/>
        <v>0.016762452107279693</v>
      </c>
      <c r="Q32" s="21">
        <f t="shared" si="4"/>
        <v>0.019157088122605366</v>
      </c>
      <c r="R32" s="22">
        <f t="shared" si="4"/>
        <v>0.021551724137931036</v>
      </c>
      <c r="S32" s="22">
        <f t="shared" si="4"/>
        <v>0.02394636015325671</v>
      </c>
      <c r="T32" s="22">
        <f t="shared" si="4"/>
        <v>0.03591954022988506</v>
      </c>
      <c r="U32" s="22">
        <f t="shared" si="4"/>
        <v>0.04789272030651342</v>
      </c>
      <c r="V32" s="22">
        <f t="shared" si="4"/>
        <v>0.05052681992337166</v>
      </c>
      <c r="W32" s="22">
        <f t="shared" si="4"/>
        <v>0.05986590038314177</v>
      </c>
      <c r="X32" s="22">
        <f t="shared" si="4"/>
        <v>0.07183908045977012</v>
      </c>
      <c r="Y32" s="22">
        <f t="shared" si="4"/>
        <v>0.08381226053639847</v>
      </c>
      <c r="Z32" s="22">
        <f t="shared" si="5"/>
        <v>0.09578544061302684</v>
      </c>
      <c r="AA32" s="22">
        <f t="shared" si="5"/>
        <v>0.10104166666666668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</row>
    <row r="33" spans="1:70" ht="16.5" customHeight="1">
      <c r="A33" s="20">
        <v>17.7</v>
      </c>
      <c r="B33" s="21">
        <f t="shared" si="6"/>
        <v>0.00023540489642184562</v>
      </c>
      <c r="C33" s="21">
        <f t="shared" si="6"/>
        <v>0.00047080979284369124</v>
      </c>
      <c r="D33" s="21">
        <f t="shared" si="6"/>
        <v>0.0007062146892655367</v>
      </c>
      <c r="E33" s="21">
        <f t="shared" si="6"/>
        <v>0.0009416195856873825</v>
      </c>
      <c r="F33" s="21">
        <f t="shared" si="6"/>
        <v>0.0011770244821092278</v>
      </c>
      <c r="G33" s="21">
        <f t="shared" si="6"/>
        <v>0.0014124293785310734</v>
      </c>
      <c r="H33" s="21">
        <f t="shared" si="6"/>
        <v>0.0016478342749529189</v>
      </c>
      <c r="I33" s="21">
        <f t="shared" si="6"/>
        <v>0.001883239171374765</v>
      </c>
      <c r="J33" s="21">
        <f t="shared" si="4"/>
        <v>0.0023540489642184556</v>
      </c>
      <c r="K33" s="21">
        <f t="shared" si="4"/>
        <v>0.004708097928436911</v>
      </c>
      <c r="L33" s="21">
        <f t="shared" si="4"/>
        <v>0.007062146892655368</v>
      </c>
      <c r="M33" s="21">
        <f t="shared" si="4"/>
        <v>0.009416195856873822</v>
      </c>
      <c r="N33" s="21">
        <f t="shared" si="4"/>
        <v>0.011770244821092278</v>
      </c>
      <c r="O33" s="21">
        <f t="shared" si="4"/>
        <v>0.014124293785310736</v>
      </c>
      <c r="P33" s="21">
        <f t="shared" si="4"/>
        <v>0.016478342749529192</v>
      </c>
      <c r="Q33" s="21">
        <f t="shared" si="4"/>
        <v>0.018832391713747645</v>
      </c>
      <c r="R33" s="22">
        <f t="shared" si="4"/>
        <v>0.0211864406779661</v>
      </c>
      <c r="S33" s="22">
        <f t="shared" si="4"/>
        <v>0.023540489642184557</v>
      </c>
      <c r="T33" s="22">
        <f t="shared" si="4"/>
        <v>0.03531073446327684</v>
      </c>
      <c r="U33" s="22">
        <f t="shared" si="4"/>
        <v>0.047080979284369114</v>
      </c>
      <c r="V33" s="22">
        <f t="shared" si="4"/>
        <v>0.04967043314500943</v>
      </c>
      <c r="W33" s="22">
        <f t="shared" si="4"/>
        <v>0.0588512241054614</v>
      </c>
      <c r="X33" s="22">
        <f t="shared" si="4"/>
        <v>0.07062146892655367</v>
      </c>
      <c r="Y33" s="22">
        <f aca="true" t="shared" si="7" ref="Y33:AA41">(Y$1)/$A33/24</f>
        <v>0.08239171374764595</v>
      </c>
      <c r="Z33" s="22">
        <f t="shared" si="7"/>
        <v>0.09416195856873823</v>
      </c>
      <c r="AA33" s="22">
        <f t="shared" si="7"/>
        <v>0.09932909604519774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</row>
    <row r="34" spans="1:70" s="1" customFormat="1" ht="16.5" customHeight="1">
      <c r="A34" s="20">
        <v>18</v>
      </c>
      <c r="B34" s="21">
        <f t="shared" si="6"/>
        <v>0.0002314814814814815</v>
      </c>
      <c r="C34" s="21">
        <f t="shared" si="6"/>
        <v>0.000462962962962963</v>
      </c>
      <c r="D34" s="21">
        <f t="shared" si="6"/>
        <v>0.0006944444444444445</v>
      </c>
      <c r="E34" s="21">
        <f t="shared" si="6"/>
        <v>0.000925925925925926</v>
      </c>
      <c r="F34" s="21">
        <f t="shared" si="6"/>
        <v>0.0011574074074074073</v>
      </c>
      <c r="G34" s="21">
        <f t="shared" si="6"/>
        <v>0.001388888888888889</v>
      </c>
      <c r="H34" s="21">
        <f t="shared" si="6"/>
        <v>0.0016203703703703703</v>
      </c>
      <c r="I34" s="21">
        <f t="shared" si="6"/>
        <v>0.001851851851851852</v>
      </c>
      <c r="J34" s="21">
        <f aca="true" t="shared" si="8" ref="J34:Y41">(J$1)/$A34/24</f>
        <v>0.0023148148148148147</v>
      </c>
      <c r="K34" s="21">
        <f t="shared" si="8"/>
        <v>0.004629629629629629</v>
      </c>
      <c r="L34" s="21">
        <f t="shared" si="8"/>
        <v>0.006944444444444444</v>
      </c>
      <c r="M34" s="21">
        <f t="shared" si="8"/>
        <v>0.009259259259259259</v>
      </c>
      <c r="N34" s="21">
        <f t="shared" si="8"/>
        <v>0.011574074074074075</v>
      </c>
      <c r="O34" s="21">
        <f t="shared" si="8"/>
        <v>0.013888888888888888</v>
      </c>
      <c r="P34" s="21">
        <f t="shared" si="8"/>
        <v>0.016203703703703703</v>
      </c>
      <c r="Q34" s="21">
        <f t="shared" si="8"/>
        <v>0.018518518518518517</v>
      </c>
      <c r="R34" s="22">
        <f t="shared" si="8"/>
        <v>0.020833333333333332</v>
      </c>
      <c r="S34" s="22">
        <f t="shared" si="8"/>
        <v>0.02314814814814815</v>
      </c>
      <c r="T34" s="22">
        <f t="shared" si="8"/>
        <v>0.034722222222222224</v>
      </c>
      <c r="U34" s="22">
        <f t="shared" si="8"/>
        <v>0.0462962962962963</v>
      </c>
      <c r="V34" s="22">
        <f t="shared" si="8"/>
        <v>0.0488425925925926</v>
      </c>
      <c r="W34" s="22">
        <f t="shared" si="8"/>
        <v>0.05787037037037037</v>
      </c>
      <c r="X34" s="22">
        <f t="shared" si="8"/>
        <v>0.06944444444444445</v>
      </c>
      <c r="Y34" s="22">
        <f t="shared" si="8"/>
        <v>0.08101851851851852</v>
      </c>
      <c r="Z34" s="22">
        <f t="shared" si="7"/>
        <v>0.0925925925925926</v>
      </c>
      <c r="AA34" s="22">
        <f t="shared" si="7"/>
        <v>0.09767361111111111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</row>
    <row r="35" spans="1:70" s="1" customFormat="1" ht="16.5" customHeight="1">
      <c r="A35" s="20">
        <v>18.3</v>
      </c>
      <c r="B35" s="21">
        <f t="shared" si="6"/>
        <v>0.00022768670309653916</v>
      </c>
      <c r="C35" s="21">
        <f t="shared" si="6"/>
        <v>0.0004553734061930783</v>
      </c>
      <c r="D35" s="21">
        <f t="shared" si="6"/>
        <v>0.0006830601092896174</v>
      </c>
      <c r="E35" s="21">
        <f t="shared" si="6"/>
        <v>0.0009107468123861566</v>
      </c>
      <c r="F35" s="21">
        <f t="shared" si="6"/>
        <v>0.0011384335154826957</v>
      </c>
      <c r="G35" s="21">
        <f t="shared" si="6"/>
        <v>0.0013661202185792348</v>
      </c>
      <c r="H35" s="21">
        <f t="shared" si="6"/>
        <v>0.0015938069216757738</v>
      </c>
      <c r="I35" s="21">
        <f t="shared" si="6"/>
        <v>0.0018214936247723133</v>
      </c>
      <c r="J35" s="21">
        <f t="shared" si="8"/>
        <v>0.0022768670309653914</v>
      </c>
      <c r="K35" s="21">
        <f t="shared" si="8"/>
        <v>0.004553734061930783</v>
      </c>
      <c r="L35" s="21">
        <f t="shared" si="8"/>
        <v>0.006830601092896175</v>
      </c>
      <c r="M35" s="21">
        <f t="shared" si="8"/>
        <v>0.009107468123861566</v>
      </c>
      <c r="N35" s="21">
        <f t="shared" si="8"/>
        <v>0.011384335154826957</v>
      </c>
      <c r="O35" s="21">
        <f t="shared" si="8"/>
        <v>0.01366120218579235</v>
      </c>
      <c r="P35" s="21">
        <f t="shared" si="8"/>
        <v>0.01593806921675774</v>
      </c>
      <c r="Q35" s="21">
        <f t="shared" si="8"/>
        <v>0.01821493624772313</v>
      </c>
      <c r="R35" s="22">
        <f t="shared" si="8"/>
        <v>0.020491803278688523</v>
      </c>
      <c r="S35" s="22">
        <f t="shared" si="8"/>
        <v>0.022768670309653915</v>
      </c>
      <c r="T35" s="22">
        <f t="shared" si="8"/>
        <v>0.03415300546448088</v>
      </c>
      <c r="U35" s="22">
        <f t="shared" si="8"/>
        <v>0.04553734061930783</v>
      </c>
      <c r="V35" s="22">
        <f t="shared" si="8"/>
        <v>0.04804189435336976</v>
      </c>
      <c r="W35" s="22">
        <f t="shared" si="8"/>
        <v>0.05692167577413479</v>
      </c>
      <c r="X35" s="22">
        <f t="shared" si="8"/>
        <v>0.06830601092896176</v>
      </c>
      <c r="Y35" s="22">
        <f t="shared" si="8"/>
        <v>0.07969034608378871</v>
      </c>
      <c r="Z35" s="22">
        <f t="shared" si="7"/>
        <v>0.09107468123861566</v>
      </c>
      <c r="AA35" s="22">
        <f t="shared" si="7"/>
        <v>0.0960724043715847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</row>
    <row r="36" spans="1:70" ht="16.5" customHeight="1">
      <c r="A36" s="20">
        <v>18.6</v>
      </c>
      <c r="B36" s="21">
        <f t="shared" si="6"/>
        <v>0.0002240143369175627</v>
      </c>
      <c r="C36" s="21">
        <f t="shared" si="6"/>
        <v>0.0004480286738351254</v>
      </c>
      <c r="D36" s="21">
        <f t="shared" si="6"/>
        <v>0.0006720430107526881</v>
      </c>
      <c r="E36" s="21">
        <f t="shared" si="6"/>
        <v>0.0008960573476702508</v>
      </c>
      <c r="F36" s="21">
        <f t="shared" si="6"/>
        <v>0.0011200716845878136</v>
      </c>
      <c r="G36" s="21">
        <f t="shared" si="6"/>
        <v>0.0013440860215053762</v>
      </c>
      <c r="H36" s="21">
        <f t="shared" si="6"/>
        <v>0.001568100358422939</v>
      </c>
      <c r="I36" s="21">
        <f t="shared" si="6"/>
        <v>0.0017921146953405016</v>
      </c>
      <c r="J36" s="21">
        <f t="shared" si="8"/>
        <v>0.002240143369175627</v>
      </c>
      <c r="K36" s="21">
        <f t="shared" si="8"/>
        <v>0.004480286738351254</v>
      </c>
      <c r="L36" s="21">
        <f t="shared" si="8"/>
        <v>0.006720430107526882</v>
      </c>
      <c r="M36" s="21">
        <f t="shared" si="8"/>
        <v>0.008960573476702509</v>
      </c>
      <c r="N36" s="21">
        <f t="shared" si="8"/>
        <v>0.011200716845878136</v>
      </c>
      <c r="O36" s="21">
        <f t="shared" si="8"/>
        <v>0.013440860215053764</v>
      </c>
      <c r="P36" s="21">
        <f t="shared" si="8"/>
        <v>0.01568100358422939</v>
      </c>
      <c r="Q36" s="21">
        <f t="shared" si="8"/>
        <v>0.017921146953405017</v>
      </c>
      <c r="R36" s="22">
        <f t="shared" si="8"/>
        <v>0.020161290322580645</v>
      </c>
      <c r="S36" s="22">
        <f t="shared" si="8"/>
        <v>0.022401433691756272</v>
      </c>
      <c r="T36" s="22">
        <f t="shared" si="8"/>
        <v>0.033602150537634407</v>
      </c>
      <c r="U36" s="22">
        <f t="shared" si="8"/>
        <v>0.044802867383512544</v>
      </c>
      <c r="V36" s="22">
        <f t="shared" si="8"/>
        <v>0.04726702508960573</v>
      </c>
      <c r="W36" s="22">
        <f t="shared" si="8"/>
        <v>0.056003584229390675</v>
      </c>
      <c r="X36" s="22">
        <f t="shared" si="8"/>
        <v>0.06720430107526881</v>
      </c>
      <c r="Y36" s="22">
        <f t="shared" si="8"/>
        <v>0.07840501792114694</v>
      </c>
      <c r="Z36" s="22">
        <f t="shared" si="7"/>
        <v>0.08960573476702509</v>
      </c>
      <c r="AA36" s="22">
        <f t="shared" si="7"/>
        <v>0.0945228494623656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</row>
    <row r="37" spans="1:70" ht="16.5" customHeight="1">
      <c r="A37" s="20">
        <v>18.9</v>
      </c>
      <c r="B37" s="21">
        <f t="shared" si="6"/>
        <v>0.00022045855379188714</v>
      </c>
      <c r="C37" s="21">
        <f t="shared" si="6"/>
        <v>0.0004409171075837743</v>
      </c>
      <c r="D37" s="21">
        <f t="shared" si="6"/>
        <v>0.0006613756613756613</v>
      </c>
      <c r="E37" s="21">
        <f t="shared" si="6"/>
        <v>0.0008818342151675486</v>
      </c>
      <c r="F37" s="21">
        <f t="shared" si="6"/>
        <v>0.0011022927689594358</v>
      </c>
      <c r="G37" s="21">
        <f t="shared" si="6"/>
        <v>0.0013227513227513227</v>
      </c>
      <c r="H37" s="21">
        <f t="shared" si="6"/>
        <v>0.0015432098765432098</v>
      </c>
      <c r="I37" s="21">
        <f t="shared" si="6"/>
        <v>0.0017636684303350971</v>
      </c>
      <c r="J37" s="21">
        <f t="shared" si="8"/>
        <v>0.0022045855379188716</v>
      </c>
      <c r="K37" s="21">
        <f t="shared" si="8"/>
        <v>0.004409171075837743</v>
      </c>
      <c r="L37" s="21">
        <f t="shared" si="8"/>
        <v>0.006613756613756614</v>
      </c>
      <c r="M37" s="21">
        <f t="shared" si="8"/>
        <v>0.008818342151675486</v>
      </c>
      <c r="N37" s="21">
        <f t="shared" si="8"/>
        <v>0.011022927689594357</v>
      </c>
      <c r="O37" s="21">
        <f t="shared" si="8"/>
        <v>0.013227513227513229</v>
      </c>
      <c r="P37" s="21">
        <f t="shared" si="8"/>
        <v>0.0154320987654321</v>
      </c>
      <c r="Q37" s="21">
        <f t="shared" si="8"/>
        <v>0.017636684303350973</v>
      </c>
      <c r="R37" s="22">
        <f t="shared" si="8"/>
        <v>0.019841269841269844</v>
      </c>
      <c r="S37" s="22">
        <f t="shared" si="8"/>
        <v>0.022045855379188715</v>
      </c>
      <c r="T37" s="22">
        <f t="shared" si="8"/>
        <v>0.033068783068783074</v>
      </c>
      <c r="U37" s="22">
        <f t="shared" si="8"/>
        <v>0.04409171075837743</v>
      </c>
      <c r="V37" s="22">
        <f t="shared" si="8"/>
        <v>0.04651675485008819</v>
      </c>
      <c r="W37" s="22">
        <f t="shared" si="8"/>
        <v>0.055114638447971785</v>
      </c>
      <c r="X37" s="22">
        <f t="shared" si="8"/>
        <v>0.06613756613756615</v>
      </c>
      <c r="Y37" s="22">
        <f t="shared" si="8"/>
        <v>0.0771604938271605</v>
      </c>
      <c r="Z37" s="22">
        <f t="shared" si="7"/>
        <v>0.08818342151675486</v>
      </c>
      <c r="AA37" s="22">
        <f t="shared" si="7"/>
        <v>0.09302248677248677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</row>
    <row r="38" spans="1:70" ht="16.5" customHeight="1">
      <c r="A38" s="20">
        <v>19.2</v>
      </c>
      <c r="B38" s="21">
        <f t="shared" si="6"/>
        <v>0.0002170138888888889</v>
      </c>
      <c r="C38" s="21">
        <f t="shared" si="6"/>
        <v>0.0004340277777777778</v>
      </c>
      <c r="D38" s="21">
        <f t="shared" si="6"/>
        <v>0.0006510416666666666</v>
      </c>
      <c r="E38" s="21">
        <f t="shared" si="6"/>
        <v>0.0008680555555555556</v>
      </c>
      <c r="F38" s="21">
        <f t="shared" si="6"/>
        <v>0.0010850694444444445</v>
      </c>
      <c r="G38" s="21">
        <f t="shared" si="6"/>
        <v>0.0013020833333333333</v>
      </c>
      <c r="H38" s="21">
        <f t="shared" si="6"/>
        <v>0.0015190972222222222</v>
      </c>
      <c r="I38" s="21">
        <f t="shared" si="6"/>
        <v>0.0017361111111111112</v>
      </c>
      <c r="J38" s="21">
        <f t="shared" si="8"/>
        <v>0.002170138888888889</v>
      </c>
      <c r="K38" s="21">
        <f t="shared" si="8"/>
        <v>0.004340277777777778</v>
      </c>
      <c r="L38" s="21">
        <f t="shared" si="8"/>
        <v>0.006510416666666667</v>
      </c>
      <c r="M38" s="21">
        <f t="shared" si="8"/>
        <v>0.008680555555555556</v>
      </c>
      <c r="N38" s="21">
        <f t="shared" si="8"/>
        <v>0.010850694444444446</v>
      </c>
      <c r="O38" s="21">
        <f t="shared" si="8"/>
        <v>0.013020833333333334</v>
      </c>
      <c r="P38" s="21">
        <f t="shared" si="8"/>
        <v>0.015190972222222224</v>
      </c>
      <c r="Q38" s="21">
        <f t="shared" si="8"/>
        <v>0.017361111111111112</v>
      </c>
      <c r="R38" s="22">
        <f t="shared" si="8"/>
        <v>0.01953125</v>
      </c>
      <c r="S38" s="22">
        <f t="shared" si="8"/>
        <v>0.02170138888888889</v>
      </c>
      <c r="T38" s="22">
        <f t="shared" si="8"/>
        <v>0.032552083333333336</v>
      </c>
      <c r="U38" s="22">
        <f t="shared" si="8"/>
        <v>0.04340277777777778</v>
      </c>
      <c r="V38" s="22">
        <f t="shared" si="8"/>
        <v>0.04578993055555556</v>
      </c>
      <c r="W38" s="22">
        <f t="shared" si="8"/>
        <v>0.05425347222222223</v>
      </c>
      <c r="X38" s="22">
        <f t="shared" si="8"/>
        <v>0.06510416666666667</v>
      </c>
      <c r="Y38" s="22">
        <f t="shared" si="8"/>
        <v>0.07595486111111112</v>
      </c>
      <c r="Z38" s="22">
        <f t="shared" si="7"/>
        <v>0.08680555555555557</v>
      </c>
      <c r="AA38" s="22">
        <f t="shared" si="7"/>
        <v>0.09156901041666667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</row>
    <row r="39" spans="1:70" ht="16.5" customHeight="1">
      <c r="A39" s="20">
        <v>19.5</v>
      </c>
      <c r="B39" s="21">
        <f t="shared" si="6"/>
        <v>0.00021367521367521368</v>
      </c>
      <c r="C39" s="21">
        <f t="shared" si="6"/>
        <v>0.00042735042735042735</v>
      </c>
      <c r="D39" s="21">
        <f t="shared" si="6"/>
        <v>0.000641025641025641</v>
      </c>
      <c r="E39" s="21">
        <f t="shared" si="6"/>
        <v>0.0008547008547008547</v>
      </c>
      <c r="F39" s="21">
        <f t="shared" si="6"/>
        <v>0.0010683760683760683</v>
      </c>
      <c r="G39" s="21">
        <f t="shared" si="6"/>
        <v>0.001282051282051282</v>
      </c>
      <c r="H39" s="21">
        <f t="shared" si="6"/>
        <v>0.0014957264957264956</v>
      </c>
      <c r="I39" s="21">
        <f t="shared" si="6"/>
        <v>0.0017094017094017094</v>
      </c>
      <c r="J39" s="21">
        <f t="shared" si="8"/>
        <v>0.0021367521367521365</v>
      </c>
      <c r="K39" s="21">
        <f t="shared" si="8"/>
        <v>0.004273504273504273</v>
      </c>
      <c r="L39" s="21">
        <f t="shared" si="8"/>
        <v>0.006410256410256411</v>
      </c>
      <c r="M39" s="21">
        <f t="shared" si="8"/>
        <v>0.008547008547008546</v>
      </c>
      <c r="N39" s="21">
        <f t="shared" si="8"/>
        <v>0.010683760683760682</v>
      </c>
      <c r="O39" s="21">
        <f t="shared" si="8"/>
        <v>0.012820512820512822</v>
      </c>
      <c r="P39" s="21">
        <f t="shared" si="8"/>
        <v>0.014957264957264958</v>
      </c>
      <c r="Q39" s="21">
        <f t="shared" si="8"/>
        <v>0.017094017094017092</v>
      </c>
      <c r="R39" s="22">
        <f t="shared" si="8"/>
        <v>0.019230769230769232</v>
      </c>
      <c r="S39" s="22">
        <f t="shared" si="8"/>
        <v>0.021367521367521364</v>
      </c>
      <c r="T39" s="22">
        <f t="shared" si="8"/>
        <v>0.032051282051282055</v>
      </c>
      <c r="U39" s="22">
        <f t="shared" si="8"/>
        <v>0.04273504273504273</v>
      </c>
      <c r="V39" s="22">
        <f t="shared" si="8"/>
        <v>0.04508547008547009</v>
      </c>
      <c r="W39" s="22">
        <f t="shared" si="8"/>
        <v>0.05341880341880342</v>
      </c>
      <c r="X39" s="22">
        <f t="shared" si="8"/>
        <v>0.06410256410256411</v>
      </c>
      <c r="Y39" s="22">
        <f t="shared" si="8"/>
        <v>0.07478632478632478</v>
      </c>
      <c r="Z39" s="22">
        <f t="shared" si="7"/>
        <v>0.08547008547008546</v>
      </c>
      <c r="AA39" s="22">
        <f t="shared" si="7"/>
        <v>0.09016025641025642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</row>
    <row r="40" spans="1:27" ht="16.5" customHeight="1">
      <c r="A40" s="20">
        <v>19.8</v>
      </c>
      <c r="B40" s="21">
        <f t="shared" si="6"/>
        <v>0.00021043771043771046</v>
      </c>
      <c r="C40" s="21">
        <f t="shared" si="6"/>
        <v>0.0004208754208754209</v>
      </c>
      <c r="D40" s="21">
        <f t="shared" si="6"/>
        <v>0.0006313131313131313</v>
      </c>
      <c r="E40" s="21">
        <f t="shared" si="6"/>
        <v>0.0008417508417508418</v>
      </c>
      <c r="F40" s="21">
        <f t="shared" si="6"/>
        <v>0.0010521885521885522</v>
      </c>
      <c r="G40" s="21">
        <f t="shared" si="6"/>
        <v>0.0012626262626262625</v>
      </c>
      <c r="H40" s="21">
        <f t="shared" si="6"/>
        <v>0.001473063973063973</v>
      </c>
      <c r="I40" s="21">
        <f t="shared" si="6"/>
        <v>0.0016835016835016836</v>
      </c>
      <c r="J40" s="21">
        <f t="shared" si="8"/>
        <v>0.0021043771043771043</v>
      </c>
      <c r="K40" s="21">
        <f t="shared" si="8"/>
        <v>0.004208754208754209</v>
      </c>
      <c r="L40" s="21">
        <f t="shared" si="8"/>
        <v>0.006313131313131313</v>
      </c>
      <c r="M40" s="21">
        <f t="shared" si="8"/>
        <v>0.008417508417508417</v>
      </c>
      <c r="N40" s="21">
        <f t="shared" si="8"/>
        <v>0.010521885521885523</v>
      </c>
      <c r="O40" s="21">
        <f t="shared" si="8"/>
        <v>0.012626262626262626</v>
      </c>
      <c r="P40" s="21">
        <f t="shared" si="8"/>
        <v>0.014730639730639731</v>
      </c>
      <c r="Q40" s="21">
        <f t="shared" si="8"/>
        <v>0.016835016835016835</v>
      </c>
      <c r="R40" s="22">
        <f t="shared" si="8"/>
        <v>0.01893939393939394</v>
      </c>
      <c r="S40" s="22">
        <f t="shared" si="8"/>
        <v>0.021043771043771045</v>
      </c>
      <c r="T40" s="22">
        <f t="shared" si="8"/>
        <v>0.03156565656565657</v>
      </c>
      <c r="U40" s="22">
        <f t="shared" si="8"/>
        <v>0.04208754208754209</v>
      </c>
      <c r="V40" s="22">
        <f t="shared" si="8"/>
        <v>0.04440235690235691</v>
      </c>
      <c r="W40" s="22">
        <f t="shared" si="8"/>
        <v>0.052609427609427606</v>
      </c>
      <c r="X40" s="22">
        <f t="shared" si="8"/>
        <v>0.06313131313131314</v>
      </c>
      <c r="Y40" s="22">
        <f t="shared" si="8"/>
        <v>0.07365319865319865</v>
      </c>
      <c r="Z40" s="22">
        <f t="shared" si="7"/>
        <v>0.08417508417508418</v>
      </c>
      <c r="AA40" s="22">
        <f t="shared" si="7"/>
        <v>0.08879419191919191</v>
      </c>
    </row>
    <row r="41" spans="1:27" ht="16.5" customHeight="1">
      <c r="A41" s="20">
        <v>20.1</v>
      </c>
      <c r="B41" s="21">
        <f t="shared" si="6"/>
        <v>0.00020729684908789387</v>
      </c>
      <c r="C41" s="21">
        <f t="shared" si="6"/>
        <v>0.00041459369817578774</v>
      </c>
      <c r="D41" s="21">
        <f t="shared" si="6"/>
        <v>0.0006218905472636815</v>
      </c>
      <c r="E41" s="21">
        <f t="shared" si="6"/>
        <v>0.0008291873963515755</v>
      </c>
      <c r="F41" s="21">
        <f t="shared" si="6"/>
        <v>0.0010364842454394692</v>
      </c>
      <c r="G41" s="21">
        <f t="shared" si="6"/>
        <v>0.001243781094527363</v>
      </c>
      <c r="H41" s="21">
        <f t="shared" si="6"/>
        <v>0.0014510779436152567</v>
      </c>
      <c r="I41" s="21">
        <f t="shared" si="6"/>
        <v>0.001658374792703151</v>
      </c>
      <c r="J41" s="21">
        <f t="shared" si="8"/>
        <v>0.0020729684908789383</v>
      </c>
      <c r="K41" s="21">
        <f t="shared" si="8"/>
        <v>0.004145936981757877</v>
      </c>
      <c r="L41" s="21">
        <f t="shared" si="8"/>
        <v>0.006218905472636815</v>
      </c>
      <c r="M41" s="21">
        <f t="shared" si="8"/>
        <v>0.008291873963515753</v>
      </c>
      <c r="N41" s="21">
        <f t="shared" si="8"/>
        <v>0.010364842454394693</v>
      </c>
      <c r="O41" s="21">
        <f t="shared" si="8"/>
        <v>0.01243781094527363</v>
      </c>
      <c r="P41" s="21">
        <f t="shared" si="8"/>
        <v>0.014510779436152569</v>
      </c>
      <c r="Q41" s="21">
        <f t="shared" si="8"/>
        <v>0.016583747927031506</v>
      </c>
      <c r="R41" s="22">
        <f t="shared" si="8"/>
        <v>0.018656716417910446</v>
      </c>
      <c r="S41" s="22">
        <f t="shared" si="8"/>
        <v>0.020729684908789386</v>
      </c>
      <c r="T41" s="22">
        <f t="shared" si="8"/>
        <v>0.031094527363184077</v>
      </c>
      <c r="U41" s="22">
        <f t="shared" si="8"/>
        <v>0.04145936981757877</v>
      </c>
      <c r="V41" s="22">
        <f t="shared" si="8"/>
        <v>0.04373963515754561</v>
      </c>
      <c r="W41" s="22">
        <f t="shared" si="8"/>
        <v>0.05182421227197346</v>
      </c>
      <c r="X41" s="22">
        <f t="shared" si="8"/>
        <v>0.062189054726368154</v>
      </c>
      <c r="Y41" s="22">
        <f t="shared" si="8"/>
        <v>0.07255389718076284</v>
      </c>
      <c r="Z41" s="22">
        <f t="shared" si="7"/>
        <v>0.08291873963515754</v>
      </c>
      <c r="AA41" s="22">
        <f t="shared" si="7"/>
        <v>0.0874689054726368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25"/>
  <sheetViews>
    <sheetView tabSelected="1" workbookViewId="0" topLeftCell="A1">
      <selection activeCell="K8" sqref="K8"/>
    </sheetView>
  </sheetViews>
  <sheetFormatPr defaultColWidth="11.421875" defaultRowHeight="12.75"/>
  <cols>
    <col min="1" max="19" width="6.7109375" style="0" customWidth="1"/>
    <col min="20" max="27" width="5.7109375" style="0" customWidth="1"/>
  </cols>
  <sheetData>
    <row r="1" spans="1:27" ht="21.75" customHeight="1" thickBot="1">
      <c r="A1" s="199" t="s">
        <v>1</v>
      </c>
      <c r="B1" s="198">
        <v>100</v>
      </c>
      <c r="C1" s="189">
        <v>200</v>
      </c>
      <c r="D1" s="189">
        <v>300</v>
      </c>
      <c r="E1" s="189">
        <v>400</v>
      </c>
      <c r="F1" s="189">
        <v>500</v>
      </c>
      <c r="G1" s="189">
        <v>600</v>
      </c>
      <c r="H1" s="189">
        <v>700</v>
      </c>
      <c r="I1" s="189">
        <v>800</v>
      </c>
      <c r="J1" s="190">
        <v>1</v>
      </c>
      <c r="K1" s="190">
        <v>2</v>
      </c>
      <c r="L1" s="190">
        <v>3</v>
      </c>
      <c r="M1" s="190">
        <v>4</v>
      </c>
      <c r="N1" s="190">
        <v>5</v>
      </c>
      <c r="O1" s="190">
        <v>6</v>
      </c>
      <c r="P1" s="190">
        <v>7</v>
      </c>
      <c r="Q1" s="190">
        <v>8</v>
      </c>
      <c r="R1" s="190">
        <v>9</v>
      </c>
      <c r="S1" s="191">
        <v>10</v>
      </c>
      <c r="T1" s="181"/>
      <c r="U1" s="181"/>
      <c r="V1" s="181"/>
      <c r="W1" s="181"/>
      <c r="X1" s="181"/>
      <c r="Y1" s="181"/>
      <c r="Z1" s="181"/>
      <c r="AA1" s="181"/>
    </row>
    <row r="2" spans="1:27" ht="16.5" customHeight="1">
      <c r="A2" s="195">
        <v>13.2</v>
      </c>
      <c r="B2" s="192">
        <f aca="true" t="shared" si="0" ref="B2:I5">(B$1/1000)/$A2/24</f>
        <v>0.0003156565656565657</v>
      </c>
      <c r="C2" s="186">
        <f t="shared" si="0"/>
        <v>0.0006313131313131314</v>
      </c>
      <c r="D2" s="186">
        <f t="shared" si="0"/>
        <v>0.000946969696969697</v>
      </c>
      <c r="E2" s="186">
        <f t="shared" si="0"/>
        <v>0.0012626262626262627</v>
      </c>
      <c r="F2" s="186">
        <f t="shared" si="0"/>
        <v>0.0015782828282828283</v>
      </c>
      <c r="G2" s="186">
        <f t="shared" si="0"/>
        <v>0.001893939393939394</v>
      </c>
      <c r="H2" s="186">
        <f t="shared" si="0"/>
        <v>0.0022095959595959595</v>
      </c>
      <c r="I2" s="186">
        <f t="shared" si="0"/>
        <v>0.0025252525252525255</v>
      </c>
      <c r="J2" s="186">
        <f aca="true" t="shared" si="1" ref="J2:S5">(J$1)/$A2/24</f>
        <v>0.0031565656565656565</v>
      </c>
      <c r="K2" s="186">
        <f t="shared" si="1"/>
        <v>0.006313131313131313</v>
      </c>
      <c r="L2" s="186">
        <f t="shared" si="1"/>
        <v>0.00946969696969697</v>
      </c>
      <c r="M2" s="186">
        <f t="shared" si="1"/>
        <v>0.012626262626262626</v>
      </c>
      <c r="N2" s="186">
        <f t="shared" si="1"/>
        <v>0.015782828282828284</v>
      </c>
      <c r="O2" s="186">
        <f t="shared" si="1"/>
        <v>0.01893939393939394</v>
      </c>
      <c r="P2" s="186">
        <f t="shared" si="1"/>
        <v>0.022095959595959596</v>
      </c>
      <c r="Q2" s="186">
        <f t="shared" si="1"/>
        <v>0.025252525252525252</v>
      </c>
      <c r="R2" s="187">
        <f t="shared" si="1"/>
        <v>0.02840909090909091</v>
      </c>
      <c r="S2" s="188">
        <f t="shared" si="1"/>
        <v>0.03156565656565657</v>
      </c>
      <c r="T2" s="180"/>
      <c r="U2" s="180"/>
      <c r="V2" s="180"/>
      <c r="W2" s="180"/>
      <c r="X2" s="180"/>
      <c r="Y2" s="180"/>
      <c r="Z2" s="180"/>
      <c r="AA2" s="180"/>
    </row>
    <row r="3" spans="1:28" ht="16.5" customHeight="1">
      <c r="A3" s="196">
        <v>13.5</v>
      </c>
      <c r="B3" s="193">
        <f t="shared" si="0"/>
        <v>0.00030864197530864197</v>
      </c>
      <c r="C3" s="178">
        <f t="shared" si="0"/>
        <v>0.0006172839506172839</v>
      </c>
      <c r="D3" s="178">
        <f t="shared" si="0"/>
        <v>0.000925925925925926</v>
      </c>
      <c r="E3" s="178">
        <f t="shared" si="0"/>
        <v>0.0012345679012345679</v>
      </c>
      <c r="F3" s="178">
        <f t="shared" si="0"/>
        <v>0.0015432098765432098</v>
      </c>
      <c r="G3" s="178">
        <f t="shared" si="0"/>
        <v>0.001851851851851852</v>
      </c>
      <c r="H3" s="178">
        <f t="shared" si="0"/>
        <v>0.0021604938271604936</v>
      </c>
      <c r="I3" s="178">
        <f t="shared" si="0"/>
        <v>0.0024691358024691358</v>
      </c>
      <c r="J3" s="178">
        <f t="shared" si="1"/>
        <v>0.0030864197530864196</v>
      </c>
      <c r="K3" s="178">
        <f t="shared" si="1"/>
        <v>0.006172839506172839</v>
      </c>
      <c r="L3" s="178">
        <f t="shared" si="1"/>
        <v>0.009259259259259259</v>
      </c>
      <c r="M3" s="178">
        <f t="shared" si="1"/>
        <v>0.012345679012345678</v>
      </c>
      <c r="N3" s="178">
        <f t="shared" si="1"/>
        <v>0.015432098765432098</v>
      </c>
      <c r="O3" s="178">
        <f t="shared" si="1"/>
        <v>0.018518518518518517</v>
      </c>
      <c r="P3" s="178">
        <f t="shared" si="1"/>
        <v>0.021604938271604937</v>
      </c>
      <c r="Q3" s="178">
        <f t="shared" si="1"/>
        <v>0.024691358024691357</v>
      </c>
      <c r="R3" s="179">
        <f t="shared" si="1"/>
        <v>0.027777777777777776</v>
      </c>
      <c r="S3" s="182">
        <f t="shared" si="1"/>
        <v>0.030864197530864196</v>
      </c>
      <c r="T3" s="180"/>
      <c r="U3" s="180"/>
      <c r="V3" s="180"/>
      <c r="W3" s="180"/>
      <c r="X3" s="180"/>
      <c r="Y3" s="180"/>
      <c r="Z3" s="180"/>
      <c r="AA3" s="180"/>
      <c r="AB3" s="23"/>
    </row>
    <row r="4" spans="1:27" ht="16.5" customHeight="1">
      <c r="A4" s="196">
        <v>13.8</v>
      </c>
      <c r="B4" s="193">
        <f t="shared" si="0"/>
        <v>0.00030193236714975844</v>
      </c>
      <c r="C4" s="178">
        <f t="shared" si="0"/>
        <v>0.0006038647342995169</v>
      </c>
      <c r="D4" s="178">
        <f t="shared" si="0"/>
        <v>0.0009057971014492754</v>
      </c>
      <c r="E4" s="178">
        <f t="shared" si="0"/>
        <v>0.0012077294685990338</v>
      </c>
      <c r="F4" s="178">
        <f t="shared" si="0"/>
        <v>0.0015096618357487923</v>
      </c>
      <c r="G4" s="178">
        <f t="shared" si="0"/>
        <v>0.0018115942028985507</v>
      </c>
      <c r="H4" s="178">
        <f t="shared" si="0"/>
        <v>0.002113526570048309</v>
      </c>
      <c r="I4" s="178">
        <f t="shared" si="0"/>
        <v>0.0024154589371980675</v>
      </c>
      <c r="J4" s="178">
        <f t="shared" si="1"/>
        <v>0.0030193236714975845</v>
      </c>
      <c r="K4" s="178">
        <f t="shared" si="1"/>
        <v>0.006038647342995169</v>
      </c>
      <c r="L4" s="178">
        <f t="shared" si="1"/>
        <v>0.009057971014492754</v>
      </c>
      <c r="M4" s="178">
        <f t="shared" si="1"/>
        <v>0.012077294685990338</v>
      </c>
      <c r="N4" s="178">
        <f t="shared" si="1"/>
        <v>0.015096618357487922</v>
      </c>
      <c r="O4" s="178">
        <f t="shared" si="1"/>
        <v>0.018115942028985508</v>
      </c>
      <c r="P4" s="178">
        <f t="shared" si="1"/>
        <v>0.02113526570048309</v>
      </c>
      <c r="Q4" s="178">
        <f t="shared" si="1"/>
        <v>0.024154589371980676</v>
      </c>
      <c r="R4" s="179">
        <f t="shared" si="1"/>
        <v>0.02717391304347826</v>
      </c>
      <c r="S4" s="182">
        <f t="shared" si="1"/>
        <v>0.030193236714975844</v>
      </c>
      <c r="T4" s="180"/>
      <c r="U4" s="180"/>
      <c r="V4" s="180"/>
      <c r="W4" s="180"/>
      <c r="X4" s="180"/>
      <c r="Y4" s="180"/>
      <c r="Z4" s="180"/>
      <c r="AA4" s="180"/>
    </row>
    <row r="5" spans="1:27" ht="16.5" customHeight="1">
      <c r="A5" s="196">
        <v>14.1</v>
      </c>
      <c r="B5" s="193">
        <f t="shared" si="0"/>
        <v>0.00029550827423167853</v>
      </c>
      <c r="C5" s="178">
        <f t="shared" si="0"/>
        <v>0.0005910165484633571</v>
      </c>
      <c r="D5" s="178">
        <f t="shared" si="0"/>
        <v>0.0008865248226950354</v>
      </c>
      <c r="E5" s="178">
        <f t="shared" si="0"/>
        <v>0.0011820330969267141</v>
      </c>
      <c r="F5" s="178">
        <f t="shared" si="0"/>
        <v>0.0014775413711583926</v>
      </c>
      <c r="G5" s="178">
        <f t="shared" si="0"/>
        <v>0.0017730496453900709</v>
      </c>
      <c r="H5" s="178">
        <f t="shared" si="0"/>
        <v>0.0020685579196217494</v>
      </c>
      <c r="I5" s="178">
        <f t="shared" si="0"/>
        <v>0.0023640661938534283</v>
      </c>
      <c r="J5" s="178">
        <f t="shared" si="1"/>
        <v>0.0029550827423167852</v>
      </c>
      <c r="K5" s="178">
        <f t="shared" si="1"/>
        <v>0.0059101654846335705</v>
      </c>
      <c r="L5" s="178">
        <f t="shared" si="1"/>
        <v>0.008865248226950355</v>
      </c>
      <c r="M5" s="178">
        <f t="shared" si="1"/>
        <v>0.011820330969267141</v>
      </c>
      <c r="N5" s="178">
        <f t="shared" si="1"/>
        <v>0.014775413711583925</v>
      </c>
      <c r="O5" s="178">
        <f t="shared" si="1"/>
        <v>0.01773049645390071</v>
      </c>
      <c r="P5" s="178">
        <f t="shared" si="1"/>
        <v>0.020685579196217493</v>
      </c>
      <c r="Q5" s="178">
        <f t="shared" si="1"/>
        <v>0.023640661938534282</v>
      </c>
      <c r="R5" s="179">
        <f t="shared" si="1"/>
        <v>0.026595744680851064</v>
      </c>
      <c r="S5" s="182">
        <f t="shared" si="1"/>
        <v>0.02955082742316785</v>
      </c>
      <c r="T5" s="180"/>
      <c r="U5" s="180"/>
      <c r="V5" s="180"/>
      <c r="W5" s="180"/>
      <c r="X5" s="180"/>
      <c r="Y5" s="180"/>
      <c r="Z5" s="180"/>
      <c r="AA5" s="180"/>
    </row>
    <row r="6" spans="1:27" ht="16.5" customHeight="1">
      <c r="A6" s="196">
        <v>14.4</v>
      </c>
      <c r="B6" s="193">
        <f aca="true" t="shared" si="2" ref="B6:I15">(B$1/1000)/$A6/24</f>
        <v>0.0002893518518518519</v>
      </c>
      <c r="C6" s="178">
        <f t="shared" si="2"/>
        <v>0.0005787037037037038</v>
      </c>
      <c r="D6" s="178">
        <f t="shared" si="2"/>
        <v>0.0008680555555555555</v>
      </c>
      <c r="E6" s="178">
        <f t="shared" si="2"/>
        <v>0.0011574074074074076</v>
      </c>
      <c r="F6" s="178">
        <f t="shared" si="2"/>
        <v>0.0014467592592592594</v>
      </c>
      <c r="G6" s="178">
        <f t="shared" si="2"/>
        <v>0.001736111111111111</v>
      </c>
      <c r="H6" s="178">
        <f t="shared" si="2"/>
        <v>0.002025462962962963</v>
      </c>
      <c r="I6" s="178">
        <f t="shared" si="2"/>
        <v>0.002314814814814815</v>
      </c>
      <c r="J6" s="178">
        <f aca="true" t="shared" si="3" ref="J6:S15">(J$1)/$A6/24</f>
        <v>0.002893518518518519</v>
      </c>
      <c r="K6" s="178">
        <f t="shared" si="3"/>
        <v>0.005787037037037038</v>
      </c>
      <c r="L6" s="178">
        <f t="shared" si="3"/>
        <v>0.008680555555555554</v>
      </c>
      <c r="M6" s="178">
        <f t="shared" si="3"/>
        <v>0.011574074074074075</v>
      </c>
      <c r="N6" s="178">
        <f t="shared" si="3"/>
        <v>0.014467592592592593</v>
      </c>
      <c r="O6" s="178">
        <f t="shared" si="3"/>
        <v>0.01736111111111111</v>
      </c>
      <c r="P6" s="178">
        <f t="shared" si="3"/>
        <v>0.02025462962962963</v>
      </c>
      <c r="Q6" s="178">
        <f t="shared" si="3"/>
        <v>0.02314814814814815</v>
      </c>
      <c r="R6" s="179">
        <f t="shared" si="3"/>
        <v>0.026041666666666668</v>
      </c>
      <c r="S6" s="182">
        <f t="shared" si="3"/>
        <v>0.028935185185185185</v>
      </c>
      <c r="T6" s="180"/>
      <c r="U6" s="180"/>
      <c r="V6" s="180"/>
      <c r="W6" s="180"/>
      <c r="X6" s="180"/>
      <c r="Y6" s="180"/>
      <c r="Z6" s="180"/>
      <c r="AA6" s="180"/>
    </row>
    <row r="7" spans="1:27" ht="16.5" customHeight="1">
      <c r="A7" s="196">
        <v>14.7</v>
      </c>
      <c r="B7" s="193">
        <f t="shared" si="2"/>
        <v>0.0002834467120181406</v>
      </c>
      <c r="C7" s="178">
        <f t="shared" si="2"/>
        <v>0.0005668934240362812</v>
      </c>
      <c r="D7" s="178">
        <f t="shared" si="2"/>
        <v>0.0008503401360544218</v>
      </c>
      <c r="E7" s="178">
        <f t="shared" si="2"/>
        <v>0.0011337868480725624</v>
      </c>
      <c r="F7" s="178">
        <f t="shared" si="2"/>
        <v>0.0014172335600907031</v>
      </c>
      <c r="G7" s="178">
        <f t="shared" si="2"/>
        <v>0.0017006802721088437</v>
      </c>
      <c r="H7" s="178">
        <f t="shared" si="2"/>
        <v>0.001984126984126984</v>
      </c>
      <c r="I7" s="178">
        <f t="shared" si="2"/>
        <v>0.0022675736961451248</v>
      </c>
      <c r="J7" s="178">
        <f t="shared" si="3"/>
        <v>0.0028344671201814063</v>
      </c>
      <c r="K7" s="178">
        <f t="shared" si="3"/>
        <v>0.005668934240362813</v>
      </c>
      <c r="L7" s="178">
        <f t="shared" si="3"/>
        <v>0.008503401360544218</v>
      </c>
      <c r="M7" s="178">
        <f t="shared" si="3"/>
        <v>0.011337868480725625</v>
      </c>
      <c r="N7" s="178">
        <f t="shared" si="3"/>
        <v>0.014172335600907028</v>
      </c>
      <c r="O7" s="178">
        <f t="shared" si="3"/>
        <v>0.017006802721088437</v>
      </c>
      <c r="P7" s="178">
        <f t="shared" si="3"/>
        <v>0.019841269841269844</v>
      </c>
      <c r="Q7" s="178">
        <f t="shared" si="3"/>
        <v>0.02267573696145125</v>
      </c>
      <c r="R7" s="179">
        <f t="shared" si="3"/>
        <v>0.025510204081632654</v>
      </c>
      <c r="S7" s="182">
        <f t="shared" si="3"/>
        <v>0.028344671201814057</v>
      </c>
      <c r="T7" s="180"/>
      <c r="U7" s="180"/>
      <c r="V7" s="180"/>
      <c r="W7" s="180"/>
      <c r="X7" s="180"/>
      <c r="Y7" s="180"/>
      <c r="Z7" s="180"/>
      <c r="AA7" s="180"/>
    </row>
    <row r="8" spans="1:27" ht="16.5" customHeight="1">
      <c r="A8" s="196">
        <v>15</v>
      </c>
      <c r="B8" s="193">
        <f t="shared" si="2"/>
        <v>0.0002777777777777778</v>
      </c>
      <c r="C8" s="178">
        <f t="shared" si="2"/>
        <v>0.0005555555555555556</v>
      </c>
      <c r="D8" s="178">
        <f t="shared" si="2"/>
        <v>0.0008333333333333334</v>
      </c>
      <c r="E8" s="178">
        <f t="shared" si="2"/>
        <v>0.0011111111111111111</v>
      </c>
      <c r="F8" s="178">
        <f t="shared" si="2"/>
        <v>0.001388888888888889</v>
      </c>
      <c r="G8" s="178">
        <f t="shared" si="2"/>
        <v>0.0016666666666666668</v>
      </c>
      <c r="H8" s="178">
        <f t="shared" si="2"/>
        <v>0.0019444444444444442</v>
      </c>
      <c r="I8" s="178">
        <f t="shared" si="2"/>
        <v>0.0022222222222222222</v>
      </c>
      <c r="J8" s="178">
        <f t="shared" si="3"/>
        <v>0.002777777777777778</v>
      </c>
      <c r="K8" s="178">
        <f t="shared" si="3"/>
        <v>0.005555555555555556</v>
      </c>
      <c r="L8" s="178">
        <f t="shared" si="3"/>
        <v>0.008333333333333333</v>
      </c>
      <c r="M8" s="178">
        <f t="shared" si="3"/>
        <v>0.011111111111111112</v>
      </c>
      <c r="N8" s="178">
        <f t="shared" si="3"/>
        <v>0.013888888888888888</v>
      </c>
      <c r="O8" s="178">
        <f t="shared" si="3"/>
        <v>0.016666666666666666</v>
      </c>
      <c r="P8" s="178">
        <f t="shared" si="3"/>
        <v>0.019444444444444445</v>
      </c>
      <c r="Q8" s="178">
        <f t="shared" si="3"/>
        <v>0.022222222222222223</v>
      </c>
      <c r="R8" s="179">
        <f t="shared" si="3"/>
        <v>0.024999999999999998</v>
      </c>
      <c r="S8" s="182">
        <f t="shared" si="3"/>
        <v>0.027777777777777776</v>
      </c>
      <c r="T8" s="180"/>
      <c r="U8" s="180"/>
      <c r="V8" s="180"/>
      <c r="W8" s="180"/>
      <c r="X8" s="180"/>
      <c r="Y8" s="180"/>
      <c r="Z8" s="180"/>
      <c r="AA8" s="180"/>
    </row>
    <row r="9" spans="1:27" ht="16.5" customHeight="1">
      <c r="A9" s="196">
        <v>15.3</v>
      </c>
      <c r="B9" s="193">
        <f t="shared" si="2"/>
        <v>0.0002723311546840959</v>
      </c>
      <c r="C9" s="178">
        <f t="shared" si="2"/>
        <v>0.0005446623093681918</v>
      </c>
      <c r="D9" s="178">
        <f t="shared" si="2"/>
        <v>0.0008169934640522876</v>
      </c>
      <c r="E9" s="178">
        <f t="shared" si="2"/>
        <v>0.0010893246187363835</v>
      </c>
      <c r="F9" s="178">
        <f t="shared" si="2"/>
        <v>0.0013616557734204794</v>
      </c>
      <c r="G9" s="178">
        <f t="shared" si="2"/>
        <v>0.0016339869281045752</v>
      </c>
      <c r="H9" s="178">
        <f t="shared" si="2"/>
        <v>0.0019063180827886708</v>
      </c>
      <c r="I9" s="178">
        <f t="shared" si="2"/>
        <v>0.002178649237472767</v>
      </c>
      <c r="J9" s="178">
        <f t="shared" si="3"/>
        <v>0.0027233115468409588</v>
      </c>
      <c r="K9" s="178">
        <f t="shared" si="3"/>
        <v>0.0054466230936819175</v>
      </c>
      <c r="L9" s="178">
        <f t="shared" si="3"/>
        <v>0.008169934640522876</v>
      </c>
      <c r="M9" s="178">
        <f t="shared" si="3"/>
        <v>0.010893246187363835</v>
      </c>
      <c r="N9" s="178">
        <f t="shared" si="3"/>
        <v>0.013616557734204794</v>
      </c>
      <c r="O9" s="178">
        <f t="shared" si="3"/>
        <v>0.016339869281045753</v>
      </c>
      <c r="P9" s="178">
        <f t="shared" si="3"/>
        <v>0.01906318082788671</v>
      </c>
      <c r="Q9" s="178">
        <f t="shared" si="3"/>
        <v>0.02178649237472767</v>
      </c>
      <c r="R9" s="179">
        <f t="shared" si="3"/>
        <v>0.024509803921568627</v>
      </c>
      <c r="S9" s="182">
        <f t="shared" si="3"/>
        <v>0.027233115468409588</v>
      </c>
      <c r="T9" s="180"/>
      <c r="U9" s="180"/>
      <c r="V9" s="180"/>
      <c r="W9" s="180"/>
      <c r="X9" s="180"/>
      <c r="Y9" s="180"/>
      <c r="Z9" s="180"/>
      <c r="AA9" s="180"/>
    </row>
    <row r="10" spans="1:27" ht="16.5" customHeight="1">
      <c r="A10" s="196">
        <v>15.6</v>
      </c>
      <c r="B10" s="193">
        <f t="shared" si="2"/>
        <v>0.0002670940170940171</v>
      </c>
      <c r="C10" s="178">
        <f t="shared" si="2"/>
        <v>0.0005341880341880342</v>
      </c>
      <c r="D10" s="178">
        <f t="shared" si="2"/>
        <v>0.0008012820512820514</v>
      </c>
      <c r="E10" s="178">
        <f t="shared" si="2"/>
        <v>0.0010683760683760685</v>
      </c>
      <c r="F10" s="178">
        <f t="shared" si="2"/>
        <v>0.0013354700854700857</v>
      </c>
      <c r="G10" s="178">
        <f t="shared" si="2"/>
        <v>0.0016025641025641027</v>
      </c>
      <c r="H10" s="178">
        <f t="shared" si="2"/>
        <v>0.0018696581196581197</v>
      </c>
      <c r="I10" s="178">
        <f t="shared" si="2"/>
        <v>0.002136752136752137</v>
      </c>
      <c r="J10" s="178">
        <f t="shared" si="3"/>
        <v>0.0026709401709401714</v>
      </c>
      <c r="K10" s="178">
        <f t="shared" si="3"/>
        <v>0.005341880341880343</v>
      </c>
      <c r="L10" s="178">
        <f t="shared" si="3"/>
        <v>0.008012820512820514</v>
      </c>
      <c r="M10" s="178">
        <f t="shared" si="3"/>
        <v>0.010683760683760686</v>
      </c>
      <c r="N10" s="178">
        <f t="shared" si="3"/>
        <v>0.013354700854700856</v>
      </c>
      <c r="O10" s="178">
        <f t="shared" si="3"/>
        <v>0.016025641025641028</v>
      </c>
      <c r="P10" s="178">
        <f t="shared" si="3"/>
        <v>0.018696581196581196</v>
      </c>
      <c r="Q10" s="178">
        <f t="shared" si="3"/>
        <v>0.02136752136752137</v>
      </c>
      <c r="R10" s="179">
        <f t="shared" si="3"/>
        <v>0.02403846153846154</v>
      </c>
      <c r="S10" s="182">
        <f t="shared" si="3"/>
        <v>0.02670940170940171</v>
      </c>
      <c r="T10" s="180"/>
      <c r="U10" s="180"/>
      <c r="V10" s="180"/>
      <c r="W10" s="180"/>
      <c r="X10" s="180"/>
      <c r="Y10" s="180"/>
      <c r="Z10" s="180"/>
      <c r="AA10" s="180"/>
    </row>
    <row r="11" spans="1:27" ht="16.5" customHeight="1">
      <c r="A11" s="196">
        <v>15.9</v>
      </c>
      <c r="B11" s="193">
        <f t="shared" si="2"/>
        <v>0.0002620545073375262</v>
      </c>
      <c r="C11" s="178">
        <f t="shared" si="2"/>
        <v>0.0005241090146750524</v>
      </c>
      <c r="D11" s="178">
        <f t="shared" si="2"/>
        <v>0.0007861635220125786</v>
      </c>
      <c r="E11" s="178">
        <f t="shared" si="2"/>
        <v>0.0010482180293501049</v>
      </c>
      <c r="F11" s="178">
        <f t="shared" si="2"/>
        <v>0.001310272536687631</v>
      </c>
      <c r="G11" s="178">
        <f t="shared" si="2"/>
        <v>0.001572327044025157</v>
      </c>
      <c r="H11" s="178">
        <f t="shared" si="2"/>
        <v>0.0018343815513626833</v>
      </c>
      <c r="I11" s="178">
        <f t="shared" si="2"/>
        <v>0.0020964360587002098</v>
      </c>
      <c r="J11" s="178">
        <f t="shared" si="3"/>
        <v>0.002620545073375262</v>
      </c>
      <c r="K11" s="178">
        <f t="shared" si="3"/>
        <v>0.005241090146750524</v>
      </c>
      <c r="L11" s="178">
        <f t="shared" si="3"/>
        <v>0.007861635220125786</v>
      </c>
      <c r="M11" s="178">
        <f t="shared" si="3"/>
        <v>0.010482180293501049</v>
      </c>
      <c r="N11" s="178">
        <f t="shared" si="3"/>
        <v>0.01310272536687631</v>
      </c>
      <c r="O11" s="178">
        <f t="shared" si="3"/>
        <v>0.015723270440251572</v>
      </c>
      <c r="P11" s="178">
        <f t="shared" si="3"/>
        <v>0.018343815513626835</v>
      </c>
      <c r="Q11" s="178">
        <f t="shared" si="3"/>
        <v>0.020964360587002098</v>
      </c>
      <c r="R11" s="179">
        <f t="shared" si="3"/>
        <v>0.023584905660377357</v>
      </c>
      <c r="S11" s="182">
        <f t="shared" si="3"/>
        <v>0.02620545073375262</v>
      </c>
      <c r="T11" s="180"/>
      <c r="U11" s="180"/>
      <c r="V11" s="180"/>
      <c r="W11" s="180"/>
      <c r="X11" s="180"/>
      <c r="Y11" s="180"/>
      <c r="Z11" s="180"/>
      <c r="AA11" s="180"/>
    </row>
    <row r="12" spans="1:70" ht="16.5" customHeight="1">
      <c r="A12" s="196">
        <v>16.2</v>
      </c>
      <c r="B12" s="193">
        <f t="shared" si="2"/>
        <v>0.000257201646090535</v>
      </c>
      <c r="C12" s="178">
        <f t="shared" si="2"/>
        <v>0.00051440329218107</v>
      </c>
      <c r="D12" s="178">
        <f t="shared" si="2"/>
        <v>0.0007716049382716049</v>
      </c>
      <c r="E12" s="178">
        <f t="shared" si="2"/>
        <v>0.00102880658436214</v>
      </c>
      <c r="F12" s="178">
        <f t="shared" si="2"/>
        <v>0.001286008230452675</v>
      </c>
      <c r="G12" s="178">
        <f t="shared" si="2"/>
        <v>0.0015432098765432098</v>
      </c>
      <c r="H12" s="178">
        <f t="shared" si="2"/>
        <v>0.0018004115226337447</v>
      </c>
      <c r="I12" s="178">
        <f t="shared" si="2"/>
        <v>0.00205761316872428</v>
      </c>
      <c r="J12" s="178">
        <f t="shared" si="3"/>
        <v>0.00257201646090535</v>
      </c>
      <c r="K12" s="178">
        <f t="shared" si="3"/>
        <v>0.0051440329218107</v>
      </c>
      <c r="L12" s="178">
        <f t="shared" si="3"/>
        <v>0.00771604938271605</v>
      </c>
      <c r="M12" s="178">
        <f t="shared" si="3"/>
        <v>0.0102880658436214</v>
      </c>
      <c r="N12" s="178">
        <f t="shared" si="3"/>
        <v>0.012860082304526751</v>
      </c>
      <c r="O12" s="178">
        <f t="shared" si="3"/>
        <v>0.0154320987654321</v>
      </c>
      <c r="P12" s="178">
        <f t="shared" si="3"/>
        <v>0.01800411522633745</v>
      </c>
      <c r="Q12" s="178">
        <f t="shared" si="3"/>
        <v>0.0205761316872428</v>
      </c>
      <c r="R12" s="179">
        <f t="shared" si="3"/>
        <v>0.02314814814814815</v>
      </c>
      <c r="S12" s="182">
        <f t="shared" si="3"/>
        <v>0.025720164609053502</v>
      </c>
      <c r="T12" s="180"/>
      <c r="U12" s="180"/>
      <c r="V12" s="180"/>
      <c r="W12" s="180"/>
      <c r="X12" s="180"/>
      <c r="Y12" s="180"/>
      <c r="Z12" s="180"/>
      <c r="AA12" s="180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</row>
    <row r="13" spans="1:70" ht="16.5" customHeight="1">
      <c r="A13" s="196">
        <v>16.65</v>
      </c>
      <c r="B13" s="193">
        <f t="shared" si="2"/>
        <v>0.0002502502502502503</v>
      </c>
      <c r="C13" s="178">
        <f t="shared" si="2"/>
        <v>0.0005005005005005006</v>
      </c>
      <c r="D13" s="178">
        <f t="shared" si="2"/>
        <v>0.0007507507507507507</v>
      </c>
      <c r="E13" s="178">
        <f t="shared" si="2"/>
        <v>0.0010010010010010012</v>
      </c>
      <c r="F13" s="178">
        <f t="shared" si="2"/>
        <v>0.0012512512512512515</v>
      </c>
      <c r="G13" s="178">
        <f t="shared" si="2"/>
        <v>0.0015015015015015015</v>
      </c>
      <c r="H13" s="178">
        <f t="shared" si="2"/>
        <v>0.001751751751751752</v>
      </c>
      <c r="I13" s="178">
        <f t="shared" si="2"/>
        <v>0.0020020020020020024</v>
      </c>
      <c r="J13" s="178">
        <f t="shared" si="3"/>
        <v>0.002502502502502503</v>
      </c>
      <c r="K13" s="178">
        <f t="shared" si="3"/>
        <v>0.005005005005005006</v>
      </c>
      <c r="L13" s="178">
        <f t="shared" si="3"/>
        <v>0.007507507507507508</v>
      </c>
      <c r="M13" s="178">
        <f t="shared" si="3"/>
        <v>0.010010010010010012</v>
      </c>
      <c r="N13" s="178">
        <f t="shared" si="3"/>
        <v>0.012512512512512513</v>
      </c>
      <c r="O13" s="178">
        <f t="shared" si="3"/>
        <v>0.015015015015015017</v>
      </c>
      <c r="P13" s="178">
        <f t="shared" si="3"/>
        <v>0.017517517517517518</v>
      </c>
      <c r="Q13" s="178">
        <f t="shared" si="3"/>
        <v>0.020020020020020023</v>
      </c>
      <c r="R13" s="179">
        <f t="shared" si="3"/>
        <v>0.022522522522522525</v>
      </c>
      <c r="S13" s="182">
        <f t="shared" si="3"/>
        <v>0.025025025025025027</v>
      </c>
      <c r="T13" s="180"/>
      <c r="U13" s="180"/>
      <c r="V13" s="180"/>
      <c r="W13" s="180"/>
      <c r="X13" s="180"/>
      <c r="Y13" s="180"/>
      <c r="Z13" s="180"/>
      <c r="AA13" s="180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</row>
    <row r="14" spans="1:70" ht="16.5" customHeight="1">
      <c r="A14" s="196">
        <v>16.8</v>
      </c>
      <c r="B14" s="193">
        <f t="shared" si="2"/>
        <v>0.000248015873015873</v>
      </c>
      <c r="C14" s="178">
        <f t="shared" si="2"/>
        <v>0.000496031746031746</v>
      </c>
      <c r="D14" s="178">
        <f t="shared" si="2"/>
        <v>0.000744047619047619</v>
      </c>
      <c r="E14" s="178">
        <f t="shared" si="2"/>
        <v>0.000992063492063492</v>
      </c>
      <c r="F14" s="178">
        <f t="shared" si="2"/>
        <v>0.001240079365079365</v>
      </c>
      <c r="G14" s="178">
        <f t="shared" si="2"/>
        <v>0.001488095238095238</v>
      </c>
      <c r="H14" s="178">
        <f t="shared" si="2"/>
        <v>0.001736111111111111</v>
      </c>
      <c r="I14" s="178">
        <f t="shared" si="2"/>
        <v>0.001984126984126984</v>
      </c>
      <c r="J14" s="178">
        <f t="shared" si="3"/>
        <v>0.00248015873015873</v>
      </c>
      <c r="K14" s="178">
        <f t="shared" si="3"/>
        <v>0.00496031746031746</v>
      </c>
      <c r="L14" s="178">
        <f t="shared" si="3"/>
        <v>0.007440476190476191</v>
      </c>
      <c r="M14" s="178">
        <f t="shared" si="3"/>
        <v>0.00992063492063492</v>
      </c>
      <c r="N14" s="178">
        <f t="shared" si="3"/>
        <v>0.01240079365079365</v>
      </c>
      <c r="O14" s="178">
        <f t="shared" si="3"/>
        <v>0.014880952380952382</v>
      </c>
      <c r="P14" s="178">
        <f t="shared" si="3"/>
        <v>0.01736111111111111</v>
      </c>
      <c r="Q14" s="178">
        <f t="shared" si="3"/>
        <v>0.01984126984126984</v>
      </c>
      <c r="R14" s="179">
        <f t="shared" si="3"/>
        <v>0.022321428571428572</v>
      </c>
      <c r="S14" s="182">
        <f t="shared" si="3"/>
        <v>0.0248015873015873</v>
      </c>
      <c r="T14" s="180"/>
      <c r="U14" s="180"/>
      <c r="V14" s="180"/>
      <c r="W14" s="180"/>
      <c r="X14" s="180"/>
      <c r="Y14" s="180"/>
      <c r="Z14" s="180"/>
      <c r="AA14" s="180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</row>
    <row r="15" spans="1:70" ht="16.5" customHeight="1">
      <c r="A15" s="196">
        <v>17.1</v>
      </c>
      <c r="B15" s="193">
        <f t="shared" si="2"/>
        <v>0.00024366471734892786</v>
      </c>
      <c r="C15" s="178">
        <f t="shared" si="2"/>
        <v>0.0004873294346978557</v>
      </c>
      <c r="D15" s="178">
        <f t="shared" si="2"/>
        <v>0.0007309941520467836</v>
      </c>
      <c r="E15" s="178">
        <f t="shared" si="2"/>
        <v>0.0009746588693957114</v>
      </c>
      <c r="F15" s="178">
        <f t="shared" si="2"/>
        <v>0.0012183235867446393</v>
      </c>
      <c r="G15" s="178">
        <f t="shared" si="2"/>
        <v>0.0014619883040935672</v>
      </c>
      <c r="H15" s="178">
        <f t="shared" si="2"/>
        <v>0.0017056530214424948</v>
      </c>
      <c r="I15" s="178">
        <f t="shared" si="2"/>
        <v>0.001949317738791423</v>
      </c>
      <c r="J15" s="178">
        <f t="shared" si="3"/>
        <v>0.0024366471734892786</v>
      </c>
      <c r="K15" s="178">
        <f t="shared" si="3"/>
        <v>0.004873294346978557</v>
      </c>
      <c r="L15" s="178">
        <f t="shared" si="3"/>
        <v>0.007309941520467836</v>
      </c>
      <c r="M15" s="178">
        <f t="shared" si="3"/>
        <v>0.009746588693957114</v>
      </c>
      <c r="N15" s="178">
        <f t="shared" si="3"/>
        <v>0.012183235867446393</v>
      </c>
      <c r="O15" s="178">
        <f t="shared" si="3"/>
        <v>0.014619883040935672</v>
      </c>
      <c r="P15" s="178">
        <f t="shared" si="3"/>
        <v>0.01705653021442495</v>
      </c>
      <c r="Q15" s="178">
        <f t="shared" si="3"/>
        <v>0.01949317738791423</v>
      </c>
      <c r="R15" s="179">
        <f t="shared" si="3"/>
        <v>0.021929824561403508</v>
      </c>
      <c r="S15" s="182">
        <f t="shared" si="3"/>
        <v>0.024366471734892786</v>
      </c>
      <c r="T15" s="180"/>
      <c r="U15" s="180"/>
      <c r="V15" s="180"/>
      <c r="W15" s="180"/>
      <c r="X15" s="180"/>
      <c r="Y15" s="180"/>
      <c r="Z15" s="180"/>
      <c r="AA15" s="180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</row>
    <row r="16" spans="1:70" ht="16.5" customHeight="1">
      <c r="A16" s="196">
        <v>17.4</v>
      </c>
      <c r="B16" s="193">
        <f aca="true" t="shared" si="4" ref="B16:I25">(B$1/1000)/$A16/24</f>
        <v>0.0002394636015325671</v>
      </c>
      <c r="C16" s="178">
        <f t="shared" si="4"/>
        <v>0.0004789272030651342</v>
      </c>
      <c r="D16" s="178">
        <f t="shared" si="4"/>
        <v>0.0007183908045977011</v>
      </c>
      <c r="E16" s="178">
        <f t="shared" si="4"/>
        <v>0.0009578544061302684</v>
      </c>
      <c r="F16" s="178">
        <f t="shared" si="4"/>
        <v>0.0011973180076628354</v>
      </c>
      <c r="G16" s="178">
        <f t="shared" si="4"/>
        <v>0.0014367816091954023</v>
      </c>
      <c r="H16" s="178">
        <f t="shared" si="4"/>
        <v>0.0016762452107279694</v>
      </c>
      <c r="I16" s="178">
        <f t="shared" si="4"/>
        <v>0.0019157088122605367</v>
      </c>
      <c r="J16" s="178">
        <f aca="true" t="shared" si="5" ref="J16:S25">(J$1)/$A16/24</f>
        <v>0.0023946360153256708</v>
      </c>
      <c r="K16" s="178">
        <f t="shared" si="5"/>
        <v>0.0047892720306513415</v>
      </c>
      <c r="L16" s="178">
        <f t="shared" si="5"/>
        <v>0.007183908045977012</v>
      </c>
      <c r="M16" s="178">
        <f t="shared" si="5"/>
        <v>0.009578544061302683</v>
      </c>
      <c r="N16" s="178">
        <f t="shared" si="5"/>
        <v>0.011973180076628355</v>
      </c>
      <c r="O16" s="178">
        <f t="shared" si="5"/>
        <v>0.014367816091954025</v>
      </c>
      <c r="P16" s="178">
        <f t="shared" si="5"/>
        <v>0.016762452107279693</v>
      </c>
      <c r="Q16" s="178">
        <f t="shared" si="5"/>
        <v>0.019157088122605366</v>
      </c>
      <c r="R16" s="179">
        <f t="shared" si="5"/>
        <v>0.021551724137931036</v>
      </c>
      <c r="S16" s="182">
        <f t="shared" si="5"/>
        <v>0.02394636015325671</v>
      </c>
      <c r="T16" s="180"/>
      <c r="U16" s="180"/>
      <c r="V16" s="180"/>
      <c r="W16" s="180"/>
      <c r="X16" s="180"/>
      <c r="Y16" s="180"/>
      <c r="Z16" s="180"/>
      <c r="AA16" s="180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</row>
    <row r="17" spans="1:70" ht="16.5" customHeight="1">
      <c r="A17" s="196">
        <v>17.7</v>
      </c>
      <c r="B17" s="193">
        <f t="shared" si="4"/>
        <v>0.00023540489642184562</v>
      </c>
      <c r="C17" s="178">
        <f t="shared" si="4"/>
        <v>0.00047080979284369124</v>
      </c>
      <c r="D17" s="178">
        <f t="shared" si="4"/>
        <v>0.0007062146892655367</v>
      </c>
      <c r="E17" s="178">
        <f t="shared" si="4"/>
        <v>0.0009416195856873825</v>
      </c>
      <c r="F17" s="178">
        <f t="shared" si="4"/>
        <v>0.0011770244821092278</v>
      </c>
      <c r="G17" s="178">
        <f t="shared" si="4"/>
        <v>0.0014124293785310734</v>
      </c>
      <c r="H17" s="178">
        <f t="shared" si="4"/>
        <v>0.0016478342749529189</v>
      </c>
      <c r="I17" s="178">
        <f t="shared" si="4"/>
        <v>0.001883239171374765</v>
      </c>
      <c r="J17" s="178">
        <f t="shared" si="5"/>
        <v>0.0023540489642184556</v>
      </c>
      <c r="K17" s="178">
        <f t="shared" si="5"/>
        <v>0.004708097928436911</v>
      </c>
      <c r="L17" s="178">
        <f t="shared" si="5"/>
        <v>0.007062146892655368</v>
      </c>
      <c r="M17" s="178">
        <f t="shared" si="5"/>
        <v>0.009416195856873822</v>
      </c>
      <c r="N17" s="178">
        <f t="shared" si="5"/>
        <v>0.011770244821092278</v>
      </c>
      <c r="O17" s="178">
        <f t="shared" si="5"/>
        <v>0.014124293785310736</v>
      </c>
      <c r="P17" s="178">
        <f t="shared" si="5"/>
        <v>0.016478342749529192</v>
      </c>
      <c r="Q17" s="178">
        <f t="shared" si="5"/>
        <v>0.018832391713747645</v>
      </c>
      <c r="R17" s="179">
        <f t="shared" si="5"/>
        <v>0.0211864406779661</v>
      </c>
      <c r="S17" s="182">
        <f t="shared" si="5"/>
        <v>0.023540489642184557</v>
      </c>
      <c r="T17" s="180"/>
      <c r="U17" s="180"/>
      <c r="V17" s="180"/>
      <c r="W17" s="180"/>
      <c r="X17" s="180"/>
      <c r="Y17" s="180"/>
      <c r="Z17" s="180"/>
      <c r="AA17" s="180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</row>
    <row r="18" spans="1:70" s="1" customFormat="1" ht="16.5" customHeight="1">
      <c r="A18" s="196">
        <v>18</v>
      </c>
      <c r="B18" s="193">
        <f t="shared" si="4"/>
        <v>0.0002314814814814815</v>
      </c>
      <c r="C18" s="178">
        <f t="shared" si="4"/>
        <v>0.000462962962962963</v>
      </c>
      <c r="D18" s="178">
        <f t="shared" si="4"/>
        <v>0.0006944444444444445</v>
      </c>
      <c r="E18" s="178">
        <f t="shared" si="4"/>
        <v>0.000925925925925926</v>
      </c>
      <c r="F18" s="178">
        <f t="shared" si="4"/>
        <v>0.0011574074074074073</v>
      </c>
      <c r="G18" s="178">
        <f t="shared" si="4"/>
        <v>0.001388888888888889</v>
      </c>
      <c r="H18" s="178">
        <f t="shared" si="4"/>
        <v>0.0016203703703703703</v>
      </c>
      <c r="I18" s="178">
        <f t="shared" si="4"/>
        <v>0.001851851851851852</v>
      </c>
      <c r="J18" s="178">
        <f t="shared" si="5"/>
        <v>0.0023148148148148147</v>
      </c>
      <c r="K18" s="178">
        <f t="shared" si="5"/>
        <v>0.004629629629629629</v>
      </c>
      <c r="L18" s="178">
        <f t="shared" si="5"/>
        <v>0.006944444444444444</v>
      </c>
      <c r="M18" s="178">
        <f t="shared" si="5"/>
        <v>0.009259259259259259</v>
      </c>
      <c r="N18" s="178">
        <f t="shared" si="5"/>
        <v>0.011574074074074075</v>
      </c>
      <c r="O18" s="178">
        <f t="shared" si="5"/>
        <v>0.013888888888888888</v>
      </c>
      <c r="P18" s="178">
        <f t="shared" si="5"/>
        <v>0.016203703703703703</v>
      </c>
      <c r="Q18" s="178">
        <f t="shared" si="5"/>
        <v>0.018518518518518517</v>
      </c>
      <c r="R18" s="179">
        <f t="shared" si="5"/>
        <v>0.020833333333333332</v>
      </c>
      <c r="S18" s="182">
        <f t="shared" si="5"/>
        <v>0.02314814814814815</v>
      </c>
      <c r="T18" s="180"/>
      <c r="U18" s="180"/>
      <c r="V18" s="180"/>
      <c r="W18" s="180"/>
      <c r="X18" s="180"/>
      <c r="Y18" s="180"/>
      <c r="Z18" s="180"/>
      <c r="AA18" s="180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</row>
    <row r="19" spans="1:70" s="1" customFormat="1" ht="16.5" customHeight="1">
      <c r="A19" s="196">
        <v>18.3</v>
      </c>
      <c r="B19" s="193">
        <f t="shared" si="4"/>
        <v>0.00022768670309653916</v>
      </c>
      <c r="C19" s="178">
        <f t="shared" si="4"/>
        <v>0.0004553734061930783</v>
      </c>
      <c r="D19" s="178">
        <f t="shared" si="4"/>
        <v>0.0006830601092896174</v>
      </c>
      <c r="E19" s="178">
        <f t="shared" si="4"/>
        <v>0.0009107468123861566</v>
      </c>
      <c r="F19" s="178">
        <f t="shared" si="4"/>
        <v>0.0011384335154826957</v>
      </c>
      <c r="G19" s="178">
        <f t="shared" si="4"/>
        <v>0.0013661202185792348</v>
      </c>
      <c r="H19" s="178">
        <f t="shared" si="4"/>
        <v>0.0015938069216757738</v>
      </c>
      <c r="I19" s="178">
        <f t="shared" si="4"/>
        <v>0.0018214936247723133</v>
      </c>
      <c r="J19" s="178">
        <f t="shared" si="5"/>
        <v>0.0022768670309653914</v>
      </c>
      <c r="K19" s="178">
        <f t="shared" si="5"/>
        <v>0.004553734061930783</v>
      </c>
      <c r="L19" s="178">
        <f t="shared" si="5"/>
        <v>0.006830601092896175</v>
      </c>
      <c r="M19" s="178">
        <f t="shared" si="5"/>
        <v>0.009107468123861566</v>
      </c>
      <c r="N19" s="178">
        <f t="shared" si="5"/>
        <v>0.011384335154826957</v>
      </c>
      <c r="O19" s="178">
        <f t="shared" si="5"/>
        <v>0.01366120218579235</v>
      </c>
      <c r="P19" s="178">
        <f t="shared" si="5"/>
        <v>0.01593806921675774</v>
      </c>
      <c r="Q19" s="178">
        <f t="shared" si="5"/>
        <v>0.01821493624772313</v>
      </c>
      <c r="R19" s="179">
        <f t="shared" si="5"/>
        <v>0.020491803278688523</v>
      </c>
      <c r="S19" s="182">
        <f t="shared" si="5"/>
        <v>0.022768670309653915</v>
      </c>
      <c r="T19" s="180"/>
      <c r="U19" s="180"/>
      <c r="V19" s="180"/>
      <c r="W19" s="180"/>
      <c r="X19" s="180"/>
      <c r="Y19" s="180"/>
      <c r="Z19" s="180"/>
      <c r="AA19" s="180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</row>
    <row r="20" spans="1:70" ht="16.5" customHeight="1">
      <c r="A20" s="196">
        <v>18.6</v>
      </c>
      <c r="B20" s="193">
        <f t="shared" si="4"/>
        <v>0.0002240143369175627</v>
      </c>
      <c r="C20" s="178">
        <f t="shared" si="4"/>
        <v>0.0004480286738351254</v>
      </c>
      <c r="D20" s="178">
        <f t="shared" si="4"/>
        <v>0.0006720430107526881</v>
      </c>
      <c r="E20" s="178">
        <f t="shared" si="4"/>
        <v>0.0008960573476702508</v>
      </c>
      <c r="F20" s="178">
        <f t="shared" si="4"/>
        <v>0.0011200716845878136</v>
      </c>
      <c r="G20" s="178">
        <f t="shared" si="4"/>
        <v>0.0013440860215053762</v>
      </c>
      <c r="H20" s="178">
        <f t="shared" si="4"/>
        <v>0.001568100358422939</v>
      </c>
      <c r="I20" s="178">
        <f t="shared" si="4"/>
        <v>0.0017921146953405016</v>
      </c>
      <c r="J20" s="178">
        <f t="shared" si="5"/>
        <v>0.002240143369175627</v>
      </c>
      <c r="K20" s="178">
        <f t="shared" si="5"/>
        <v>0.004480286738351254</v>
      </c>
      <c r="L20" s="178">
        <f t="shared" si="5"/>
        <v>0.006720430107526882</v>
      </c>
      <c r="M20" s="178">
        <f t="shared" si="5"/>
        <v>0.008960573476702509</v>
      </c>
      <c r="N20" s="178">
        <f t="shared" si="5"/>
        <v>0.011200716845878136</v>
      </c>
      <c r="O20" s="178">
        <f t="shared" si="5"/>
        <v>0.013440860215053764</v>
      </c>
      <c r="P20" s="178">
        <f t="shared" si="5"/>
        <v>0.01568100358422939</v>
      </c>
      <c r="Q20" s="178">
        <f t="shared" si="5"/>
        <v>0.017921146953405017</v>
      </c>
      <c r="R20" s="179">
        <f t="shared" si="5"/>
        <v>0.020161290322580645</v>
      </c>
      <c r="S20" s="182">
        <f t="shared" si="5"/>
        <v>0.022401433691756272</v>
      </c>
      <c r="T20" s="180"/>
      <c r="U20" s="180"/>
      <c r="V20" s="180"/>
      <c r="W20" s="180"/>
      <c r="X20" s="180"/>
      <c r="Y20" s="180"/>
      <c r="Z20" s="180"/>
      <c r="AA20" s="180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</row>
    <row r="21" spans="1:70" ht="16.5" customHeight="1">
      <c r="A21" s="196">
        <v>18.9</v>
      </c>
      <c r="B21" s="193">
        <f t="shared" si="4"/>
        <v>0.00022045855379188714</v>
      </c>
      <c r="C21" s="178">
        <f t="shared" si="4"/>
        <v>0.0004409171075837743</v>
      </c>
      <c r="D21" s="178">
        <f t="shared" si="4"/>
        <v>0.0006613756613756613</v>
      </c>
      <c r="E21" s="178">
        <f t="shared" si="4"/>
        <v>0.0008818342151675486</v>
      </c>
      <c r="F21" s="178">
        <f t="shared" si="4"/>
        <v>0.0011022927689594358</v>
      </c>
      <c r="G21" s="178">
        <f t="shared" si="4"/>
        <v>0.0013227513227513227</v>
      </c>
      <c r="H21" s="178">
        <f t="shared" si="4"/>
        <v>0.0015432098765432098</v>
      </c>
      <c r="I21" s="178">
        <f t="shared" si="4"/>
        <v>0.0017636684303350971</v>
      </c>
      <c r="J21" s="178">
        <f t="shared" si="5"/>
        <v>0.0022045855379188716</v>
      </c>
      <c r="K21" s="178">
        <f t="shared" si="5"/>
        <v>0.004409171075837743</v>
      </c>
      <c r="L21" s="178">
        <f t="shared" si="5"/>
        <v>0.006613756613756614</v>
      </c>
      <c r="M21" s="178">
        <f t="shared" si="5"/>
        <v>0.008818342151675486</v>
      </c>
      <c r="N21" s="178">
        <f t="shared" si="5"/>
        <v>0.011022927689594357</v>
      </c>
      <c r="O21" s="178">
        <f t="shared" si="5"/>
        <v>0.013227513227513229</v>
      </c>
      <c r="P21" s="178">
        <f t="shared" si="5"/>
        <v>0.0154320987654321</v>
      </c>
      <c r="Q21" s="178">
        <f t="shared" si="5"/>
        <v>0.017636684303350973</v>
      </c>
      <c r="R21" s="179">
        <f t="shared" si="5"/>
        <v>0.019841269841269844</v>
      </c>
      <c r="S21" s="182">
        <f t="shared" si="5"/>
        <v>0.022045855379188715</v>
      </c>
      <c r="T21" s="180"/>
      <c r="U21" s="180"/>
      <c r="V21" s="180"/>
      <c r="W21" s="180"/>
      <c r="X21" s="180"/>
      <c r="Y21" s="180"/>
      <c r="Z21" s="180"/>
      <c r="AA21" s="180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</row>
    <row r="22" spans="1:70" ht="16.5" customHeight="1">
      <c r="A22" s="196">
        <v>19.2</v>
      </c>
      <c r="B22" s="193">
        <f t="shared" si="4"/>
        <v>0.0002170138888888889</v>
      </c>
      <c r="C22" s="178">
        <f t="shared" si="4"/>
        <v>0.0004340277777777778</v>
      </c>
      <c r="D22" s="178">
        <f t="shared" si="4"/>
        <v>0.0006510416666666666</v>
      </c>
      <c r="E22" s="178">
        <f t="shared" si="4"/>
        <v>0.0008680555555555556</v>
      </c>
      <c r="F22" s="178">
        <f t="shared" si="4"/>
        <v>0.0010850694444444445</v>
      </c>
      <c r="G22" s="178">
        <f t="shared" si="4"/>
        <v>0.0013020833333333333</v>
      </c>
      <c r="H22" s="178">
        <f t="shared" si="4"/>
        <v>0.0015190972222222222</v>
      </c>
      <c r="I22" s="178">
        <f t="shared" si="4"/>
        <v>0.0017361111111111112</v>
      </c>
      <c r="J22" s="178">
        <f t="shared" si="5"/>
        <v>0.002170138888888889</v>
      </c>
      <c r="K22" s="178">
        <f t="shared" si="5"/>
        <v>0.004340277777777778</v>
      </c>
      <c r="L22" s="178">
        <f t="shared" si="5"/>
        <v>0.006510416666666667</v>
      </c>
      <c r="M22" s="178">
        <f t="shared" si="5"/>
        <v>0.008680555555555556</v>
      </c>
      <c r="N22" s="178">
        <f t="shared" si="5"/>
        <v>0.010850694444444446</v>
      </c>
      <c r="O22" s="178">
        <f t="shared" si="5"/>
        <v>0.013020833333333334</v>
      </c>
      <c r="P22" s="178">
        <f t="shared" si="5"/>
        <v>0.015190972222222224</v>
      </c>
      <c r="Q22" s="178">
        <f t="shared" si="5"/>
        <v>0.017361111111111112</v>
      </c>
      <c r="R22" s="179">
        <f t="shared" si="5"/>
        <v>0.01953125</v>
      </c>
      <c r="S22" s="182">
        <f t="shared" si="5"/>
        <v>0.02170138888888889</v>
      </c>
      <c r="T22" s="180"/>
      <c r="U22" s="180"/>
      <c r="V22" s="180"/>
      <c r="W22" s="180"/>
      <c r="X22" s="180"/>
      <c r="Y22" s="180"/>
      <c r="Z22" s="180"/>
      <c r="AA22" s="180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</row>
    <row r="23" spans="1:70" ht="16.5" customHeight="1">
      <c r="A23" s="196">
        <v>19.5</v>
      </c>
      <c r="B23" s="193">
        <f t="shared" si="4"/>
        <v>0.00021367521367521368</v>
      </c>
      <c r="C23" s="178">
        <f t="shared" si="4"/>
        <v>0.00042735042735042735</v>
      </c>
      <c r="D23" s="178">
        <f t="shared" si="4"/>
        <v>0.000641025641025641</v>
      </c>
      <c r="E23" s="178">
        <f t="shared" si="4"/>
        <v>0.0008547008547008547</v>
      </c>
      <c r="F23" s="178">
        <f t="shared" si="4"/>
        <v>0.0010683760683760683</v>
      </c>
      <c r="G23" s="178">
        <f t="shared" si="4"/>
        <v>0.001282051282051282</v>
      </c>
      <c r="H23" s="178">
        <f t="shared" si="4"/>
        <v>0.0014957264957264956</v>
      </c>
      <c r="I23" s="178">
        <f t="shared" si="4"/>
        <v>0.0017094017094017094</v>
      </c>
      <c r="J23" s="178">
        <f t="shared" si="5"/>
        <v>0.0021367521367521365</v>
      </c>
      <c r="K23" s="178">
        <f t="shared" si="5"/>
        <v>0.004273504273504273</v>
      </c>
      <c r="L23" s="178">
        <f t="shared" si="5"/>
        <v>0.006410256410256411</v>
      </c>
      <c r="M23" s="178">
        <f t="shared" si="5"/>
        <v>0.008547008547008546</v>
      </c>
      <c r="N23" s="178">
        <f t="shared" si="5"/>
        <v>0.010683760683760682</v>
      </c>
      <c r="O23" s="178">
        <f t="shared" si="5"/>
        <v>0.012820512820512822</v>
      </c>
      <c r="P23" s="178">
        <f t="shared" si="5"/>
        <v>0.014957264957264958</v>
      </c>
      <c r="Q23" s="178">
        <f t="shared" si="5"/>
        <v>0.017094017094017092</v>
      </c>
      <c r="R23" s="179">
        <f t="shared" si="5"/>
        <v>0.019230769230769232</v>
      </c>
      <c r="S23" s="182">
        <f t="shared" si="5"/>
        <v>0.021367521367521364</v>
      </c>
      <c r="T23" s="180"/>
      <c r="U23" s="180"/>
      <c r="V23" s="180"/>
      <c r="W23" s="180"/>
      <c r="X23" s="180"/>
      <c r="Y23" s="180"/>
      <c r="Z23" s="180"/>
      <c r="AA23" s="180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</row>
    <row r="24" spans="1:27" ht="16.5" customHeight="1">
      <c r="A24" s="196">
        <v>19.8</v>
      </c>
      <c r="B24" s="193">
        <f t="shared" si="4"/>
        <v>0.00021043771043771046</v>
      </c>
      <c r="C24" s="178">
        <f t="shared" si="4"/>
        <v>0.0004208754208754209</v>
      </c>
      <c r="D24" s="178">
        <f t="shared" si="4"/>
        <v>0.0006313131313131313</v>
      </c>
      <c r="E24" s="178">
        <f t="shared" si="4"/>
        <v>0.0008417508417508418</v>
      </c>
      <c r="F24" s="178">
        <f t="shared" si="4"/>
        <v>0.0010521885521885522</v>
      </c>
      <c r="G24" s="178">
        <f t="shared" si="4"/>
        <v>0.0012626262626262625</v>
      </c>
      <c r="H24" s="178">
        <f t="shared" si="4"/>
        <v>0.001473063973063973</v>
      </c>
      <c r="I24" s="178">
        <f t="shared" si="4"/>
        <v>0.0016835016835016836</v>
      </c>
      <c r="J24" s="178">
        <f t="shared" si="5"/>
        <v>0.0021043771043771043</v>
      </c>
      <c r="K24" s="178">
        <f t="shared" si="5"/>
        <v>0.004208754208754209</v>
      </c>
      <c r="L24" s="178">
        <f t="shared" si="5"/>
        <v>0.006313131313131313</v>
      </c>
      <c r="M24" s="178">
        <f t="shared" si="5"/>
        <v>0.008417508417508417</v>
      </c>
      <c r="N24" s="178">
        <f t="shared" si="5"/>
        <v>0.010521885521885523</v>
      </c>
      <c r="O24" s="178">
        <f t="shared" si="5"/>
        <v>0.012626262626262626</v>
      </c>
      <c r="P24" s="178">
        <f t="shared" si="5"/>
        <v>0.014730639730639731</v>
      </c>
      <c r="Q24" s="178">
        <f t="shared" si="5"/>
        <v>0.016835016835016835</v>
      </c>
      <c r="R24" s="179">
        <f t="shared" si="5"/>
        <v>0.01893939393939394</v>
      </c>
      <c r="S24" s="182">
        <f t="shared" si="5"/>
        <v>0.021043771043771045</v>
      </c>
      <c r="T24" s="180"/>
      <c r="U24" s="180"/>
      <c r="V24" s="180"/>
      <c r="W24" s="180"/>
      <c r="X24" s="180"/>
      <c r="Y24" s="180"/>
      <c r="Z24" s="180"/>
      <c r="AA24" s="180"/>
    </row>
    <row r="25" spans="1:27" ht="16.5" customHeight="1" thickBot="1">
      <c r="A25" s="197">
        <v>20.1</v>
      </c>
      <c r="B25" s="194">
        <f t="shared" si="4"/>
        <v>0.00020729684908789387</v>
      </c>
      <c r="C25" s="183">
        <f t="shared" si="4"/>
        <v>0.00041459369817578774</v>
      </c>
      <c r="D25" s="183">
        <f t="shared" si="4"/>
        <v>0.0006218905472636815</v>
      </c>
      <c r="E25" s="183">
        <f t="shared" si="4"/>
        <v>0.0008291873963515755</v>
      </c>
      <c r="F25" s="183">
        <f t="shared" si="4"/>
        <v>0.0010364842454394692</v>
      </c>
      <c r="G25" s="183">
        <f t="shared" si="4"/>
        <v>0.001243781094527363</v>
      </c>
      <c r="H25" s="183">
        <f t="shared" si="4"/>
        <v>0.0014510779436152567</v>
      </c>
      <c r="I25" s="183">
        <f t="shared" si="4"/>
        <v>0.001658374792703151</v>
      </c>
      <c r="J25" s="183">
        <f t="shared" si="5"/>
        <v>0.0020729684908789383</v>
      </c>
      <c r="K25" s="183">
        <f t="shared" si="5"/>
        <v>0.004145936981757877</v>
      </c>
      <c r="L25" s="183">
        <f t="shared" si="5"/>
        <v>0.006218905472636815</v>
      </c>
      <c r="M25" s="183">
        <f t="shared" si="5"/>
        <v>0.008291873963515753</v>
      </c>
      <c r="N25" s="183">
        <f t="shared" si="5"/>
        <v>0.010364842454394693</v>
      </c>
      <c r="O25" s="183">
        <f t="shared" si="5"/>
        <v>0.01243781094527363</v>
      </c>
      <c r="P25" s="183">
        <f t="shared" si="5"/>
        <v>0.014510779436152569</v>
      </c>
      <c r="Q25" s="183">
        <f t="shared" si="5"/>
        <v>0.016583747927031506</v>
      </c>
      <c r="R25" s="184">
        <f t="shared" si="5"/>
        <v>0.018656716417910446</v>
      </c>
      <c r="S25" s="185">
        <f t="shared" si="5"/>
        <v>0.020729684908789386</v>
      </c>
      <c r="T25" s="180"/>
      <c r="U25" s="180"/>
      <c r="V25" s="180"/>
      <c r="W25" s="180"/>
      <c r="X25" s="180"/>
      <c r="Y25" s="180"/>
      <c r="Z25" s="180"/>
      <c r="AA25" s="180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B14" sqref="B14"/>
    </sheetView>
  </sheetViews>
  <sheetFormatPr defaultColWidth="11.421875" defaultRowHeight="12.75"/>
  <sheetData>
    <row r="1" spans="1:7" ht="25.5" customHeight="1">
      <c r="A1" s="5"/>
      <c r="B1" s="5"/>
      <c r="C1" s="5"/>
      <c r="D1" s="5"/>
      <c r="E1" s="3" t="s">
        <v>2</v>
      </c>
      <c r="F1" s="3" t="s">
        <v>3</v>
      </c>
      <c r="G1" s="3" t="s">
        <v>4</v>
      </c>
    </row>
    <row r="2" spans="1:7" ht="25.5" customHeight="1">
      <c r="A2" s="5"/>
      <c r="B2" s="3" t="s">
        <v>0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</row>
    <row r="3" spans="1:7" ht="25.5" customHeight="1">
      <c r="A3" s="3" t="s">
        <v>10</v>
      </c>
      <c r="B3" s="6"/>
      <c r="C3" s="1"/>
      <c r="D3" s="1"/>
      <c r="E3" s="1"/>
      <c r="F3" s="1"/>
      <c r="G3" s="1"/>
    </row>
    <row r="4" spans="1:7" ht="24.75" customHeight="1">
      <c r="A4" s="3" t="s">
        <v>11</v>
      </c>
      <c r="B4" s="6"/>
      <c r="C4" s="1"/>
      <c r="D4" s="1"/>
      <c r="E4" s="1"/>
      <c r="F4" s="1"/>
      <c r="G4" s="1"/>
    </row>
    <row r="5" spans="1:7" ht="25.5" customHeight="1">
      <c r="A5" s="3" t="s">
        <v>12</v>
      </c>
      <c r="B5" s="1"/>
      <c r="C5" s="7"/>
      <c r="D5" s="1"/>
      <c r="E5" s="1"/>
      <c r="F5" s="1"/>
      <c r="G5" s="1"/>
    </row>
    <row r="6" spans="1:7" ht="25.5" customHeight="1">
      <c r="A6" s="3" t="s">
        <v>13</v>
      </c>
      <c r="B6" s="1"/>
      <c r="C6" s="1"/>
      <c r="D6" s="8"/>
      <c r="E6" s="1"/>
      <c r="F6" s="1"/>
      <c r="G6" s="1"/>
    </row>
    <row r="7" spans="1:7" ht="25.5" customHeight="1">
      <c r="A7" s="3"/>
      <c r="B7" s="9" t="s">
        <v>2</v>
      </c>
      <c r="C7" s="10" t="s">
        <v>3</v>
      </c>
      <c r="D7" s="11" t="s">
        <v>4</v>
      </c>
      <c r="E7" s="1"/>
      <c r="F7" s="1"/>
      <c r="G7" s="1"/>
    </row>
    <row r="8" spans="1:7" ht="25.5" customHeight="1">
      <c r="A8" s="3" t="s">
        <v>14</v>
      </c>
      <c r="B8" s="12">
        <v>0.9</v>
      </c>
      <c r="C8" s="13">
        <v>0.89</v>
      </c>
      <c r="D8" s="14">
        <v>0.84</v>
      </c>
      <c r="E8" s="15"/>
      <c r="F8" s="16"/>
      <c r="G8" s="17"/>
    </row>
    <row r="9" spans="1:7" ht="25.5" customHeight="1">
      <c r="A9" s="3" t="s">
        <v>15</v>
      </c>
      <c r="B9" s="12">
        <v>0.89</v>
      </c>
      <c r="C9" s="13">
        <v>0.87</v>
      </c>
      <c r="D9" s="14">
        <v>0.82</v>
      </c>
      <c r="E9" s="15"/>
      <c r="F9" s="16"/>
      <c r="G9" s="17"/>
    </row>
    <row r="10" spans="1:7" ht="25.5" customHeight="1">
      <c r="A10" s="3" t="s">
        <v>16</v>
      </c>
      <c r="B10" s="18"/>
      <c r="C10" s="13">
        <v>0.85</v>
      </c>
      <c r="D10" s="14">
        <v>0.8</v>
      </c>
      <c r="E10" s="1"/>
      <c r="F10" s="16"/>
      <c r="G10" s="17"/>
    </row>
    <row r="11" spans="1:7" ht="24.75" customHeight="1">
      <c r="A11" s="3" t="s">
        <v>17</v>
      </c>
      <c r="B11" s="18"/>
      <c r="C11" s="18"/>
      <c r="D11" s="14">
        <v>0.78</v>
      </c>
      <c r="E11" s="1"/>
      <c r="F11" s="1"/>
      <c r="G11" s="17"/>
    </row>
    <row r="13" ht="12.75">
      <c r="B13" s="24" t="s">
        <v>22</v>
      </c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 Préferé</dc:creator>
  <cp:keywords/>
  <dc:description/>
  <cp:lastModifiedBy>pc-dao-denis</cp:lastModifiedBy>
  <cp:lastPrinted>2012-10-25T14:27:12Z</cp:lastPrinted>
  <dcterms:created xsi:type="dcterms:W3CDTF">2000-10-19T06:21:39Z</dcterms:created>
  <dcterms:modified xsi:type="dcterms:W3CDTF">2012-10-25T14:31:52Z</dcterms:modified>
  <cp:category/>
  <cp:version/>
  <cp:contentType/>
  <cp:contentStatus/>
</cp:coreProperties>
</file>